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26" windowWidth="11985" windowHeight="10050" tabRatio="696" activeTab="5"/>
  </bookViews>
  <sheets>
    <sheet name="Guide" sheetId="1" r:id="rId1"/>
    <sheet name="Params" sheetId="2" r:id="rId2"/>
    <sheet name="oMAS" sheetId="3" r:id="rId3"/>
    <sheet name="rSummary" sheetId="4" r:id="rId4"/>
    <sheet name="rProdProfit" sheetId="5" r:id="rId5"/>
    <sheet name="iCostAlloc" sheetId="6" r:id="rId6"/>
    <sheet name="dTotOhds" sheetId="7" r:id="rId7"/>
    <sheet name="mAdmin" sheetId="8" r:id="rId8"/>
    <sheet name="mMgmt" sheetId="9" r:id="rId9"/>
    <sheet name="sSales" sheetId="10" r:id="rId10"/>
  </sheets>
  <definedNames>
    <definedName name="afbGuide">'Guide'!$A$1:$B$4</definedName>
    <definedName name="afbParams">'Params'!$A$1:$A$4</definedName>
    <definedName name="afbSheet" localSheetId="6">'dTotOhds'!$K$11:$K$14</definedName>
    <definedName name="afbSheet" localSheetId="5">'iCostAlloc'!$K$11:$K$14</definedName>
    <definedName name="afbSheet" localSheetId="7">'mAdmin'!$K$11:$K$14</definedName>
    <definedName name="afbSheet" localSheetId="8">'mMgmt'!$K$11:$K$14</definedName>
    <definedName name="afbSheet" localSheetId="2">'oMAS'!$K$11:$K$14</definedName>
    <definedName name="afbSheet" localSheetId="4">'rProdProfit'!$K$11:$K$14</definedName>
    <definedName name="afbSheet" localSheetId="3">'rSummary'!$K$11:$K$14</definedName>
    <definedName name="afbSheet" localSheetId="9">'sSales'!$K$11:$K$14</definedName>
    <definedName name="cInputs">'iCostAlloc'!$K$16:$Z$20</definedName>
    <definedName name="cInputsCalcs">'iCostAlloc'!$K$16:$Z$37</definedName>
    <definedName name="dteOutput">'oMAS'!$K$15:$O$26</definedName>
    <definedName name="gAppDescription">'Guide'!$C$6</definedName>
    <definedName name="gCreator">'Guide'!$C$10</definedName>
    <definedName name="gProcedures">'Guide'!$A$38</definedName>
    <definedName name="gPurpose">'Guide'!$C$7</definedName>
    <definedName name="gStartWorkbook">'Guide'!$C$22</definedName>
    <definedName name="kAppName">'Params'!$B$6</definedName>
    <definedName name="kCrosscheckMsg">'Params'!$B$13</definedName>
    <definedName name="kCrosscheckTolerance">'Params'!$B$12</definedName>
    <definedName name="kHideWebToolbar">'Params'!$B$15</definedName>
    <definedName name="kMonthNo">'Params'!$B$10</definedName>
    <definedName name="kNow">'Params'!$B$14</definedName>
    <definedName name="kOrgName">'Params'!$B$8</definedName>
    <definedName name="kPeriod">'Params'!$B$11</definedName>
    <definedName name="kVersion">'Params'!$B$7</definedName>
    <definedName name="kYear">'Params'!$B$9</definedName>
    <definedName name="parSheet" localSheetId="4">'rProdProfit'!$K$11:$Z$39</definedName>
    <definedName name="parSheet" localSheetId="3">'rSummary'!$K$11:$Z$27</definedName>
    <definedName name="parTotalOverheads">'dTotOhds'!$K$11:$Z$54</definedName>
    <definedName name="_xlnm.Print_Area" localSheetId="6">'dTotOhds'!$K$11:$Z$54</definedName>
    <definedName name="_xlnm.Print_Area" localSheetId="5">'iCostAlloc'!$K$11:$Z$37</definedName>
    <definedName name="_xlnm.Print_Area" localSheetId="7">'mAdmin'!$K$11:$Z$54</definedName>
    <definedName name="_xlnm.Print_Area" localSheetId="8">'mMgmt'!$K$11:$AC$54</definedName>
    <definedName name="_xlnm.Print_Area" localSheetId="2">'oMAS'!$K$11:$O$23</definedName>
    <definedName name="_xlnm.Print_Area" localSheetId="4">'rProdProfit'!$K$11:$Z$39</definedName>
    <definedName name="_xlnm.Print_Area" localSheetId="3">'rSummary'!$K$11:$Z$27</definedName>
    <definedName name="_xlnm.Print_Area" localSheetId="9">'sSales'!$K$11:$Z$21</definedName>
    <definedName name="_xlnm.Print_Titles" localSheetId="6">'dTotOhds'!$K:$K,'dTotOhds'!$11:$14</definedName>
    <definedName name="_xlnm.Print_Titles" localSheetId="0">'Guide'!$1:$4</definedName>
    <definedName name="_xlnm.Print_Titles" localSheetId="5">'iCostAlloc'!$K:$K,'iCostAlloc'!$11:$14</definedName>
    <definedName name="_xlnm.Print_Titles" localSheetId="7">'mAdmin'!$K:$K,'mAdmin'!$11:$14</definedName>
    <definedName name="_xlnm.Print_Titles" localSheetId="8">'mMgmt'!$K:$K,'mMgmt'!$11:$14</definedName>
    <definedName name="_xlnm.Print_Titles" localSheetId="2">'oMAS'!$K:$K,'oMAS'!$11:$14</definedName>
    <definedName name="_xlnm.Print_Titles" localSheetId="1">'Params'!$1:$4</definedName>
    <definedName name="_xlnm.Print_Titles" localSheetId="4">'rProdProfit'!$K:$K,'rProdProfit'!$11:$14</definedName>
    <definedName name="_xlnm.Print_Titles" localSheetId="3">'rSummary'!$K:$K,'rSummary'!$11:$14</definedName>
    <definedName name="_xlnm.Print_Titles" localSheetId="9">'sSales'!$K:$K,'sSales'!$11:$14</definedName>
    <definedName name="srCostAllocProd1">'iCostAlloc'!$K$17</definedName>
    <definedName name="srCostAllocProd2">'iCostAlloc'!$K$22</definedName>
    <definedName name="srCostAllocProd3">'iCostAlloc'!$K$27</definedName>
    <definedName name="srCostAllocProd4">'iCostAlloc'!$K$34</definedName>
    <definedName name="srProfProd1">'rProdProfit'!$K$16</definedName>
    <definedName name="srProfProd2">'rProdProfit'!$K$22</definedName>
    <definedName name="srProfProd3">'rProdProfit'!$K$28</definedName>
    <definedName name="srProfProd4">'rProdProfit'!$K$34</definedName>
    <definedName name="tcCopyRightStop1">'mMgmt'!$Y$14</definedName>
    <definedName name="ttSheet" localSheetId="6">'dTotOhds'!$K$14:$Z$14</definedName>
    <definedName name="ttSheet" localSheetId="5">'iCostAlloc'!$K$14:$Z$14</definedName>
    <definedName name="ttSheet" localSheetId="7">'mAdmin'!$K$14:$Z$14</definedName>
    <definedName name="ttSheet" localSheetId="8">'mMgmt'!$K$14:$AC$14</definedName>
    <definedName name="ttSheet" localSheetId="2">'oMAS'!$K$14:$O$14</definedName>
    <definedName name="ttSheet" localSheetId="4">'rProdProfit'!$K$14:$Z$14</definedName>
    <definedName name="ttSheet" localSheetId="3">'rSummary'!$K$14:$Z$14</definedName>
    <definedName name="ttSheet" localSheetId="9">'sSales'!$K$14:$Z$14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5" authorId="0">
      <text>
        <r>
          <rPr>
            <sz val="8"/>
            <rFont val="Tahoma"/>
            <family val="2"/>
          </rPr>
          <t>Hide Web toolbar when file opens.</t>
        </r>
      </text>
    </comment>
    <comment ref="A9" authorId="0">
      <text>
        <r>
          <rPr>
            <sz val="8"/>
            <rFont val="Tahoma"/>
            <family val="2"/>
          </rPr>
          <t>If months overlap year end, the year is the year of the final month.</t>
        </r>
      </text>
    </comment>
  </commentList>
</comments>
</file>

<file path=xl/comments8.xml><?xml version="1.0" encoding="utf-8"?>
<comments xmlns="http://schemas.openxmlformats.org/spreadsheetml/2006/main">
  <authors>
    <author>Paul Oulton</author>
  </authors>
  <commentList>
    <comment ref="K32" authorId="0">
      <text>
        <r>
          <rPr>
            <b/>
            <sz val="9"/>
            <rFont val="Tahoma"/>
            <family val="2"/>
          </rPr>
          <t>Paul Oulton:</t>
        </r>
        <r>
          <rPr>
            <sz val="9"/>
            <rFont val="Tahoma"/>
            <family val="2"/>
          </rPr>
          <t xml:space="preserve">
Enter only rental leases and not leases for purchase.</t>
        </r>
      </text>
    </comment>
  </commentList>
</comments>
</file>

<file path=xl/sharedStrings.xml><?xml version="1.0" encoding="utf-8"?>
<sst xmlns="http://schemas.openxmlformats.org/spreadsheetml/2006/main" count="384" uniqueCount="172">
  <si>
    <t>Key parameters</t>
  </si>
  <si>
    <t>Now</t>
  </si>
  <si>
    <t>Organisation name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</si>
  <si>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</si>
  <si>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</si>
  <si>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</si>
  <si>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</si>
  <si>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</si>
  <si>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</si>
  <si>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</si>
  <si>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</si>
  <si>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</si>
  <si>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</si>
  <si>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</si>
  <si>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</si>
  <si>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4)</t>
  </si>
  <si>
    <t>5)</t>
  </si>
  <si>
    <t>6)</t>
  </si>
  <si>
    <t>7)</t>
  </si>
  <si>
    <t>Workbook purpose</t>
  </si>
  <si>
    <t>Who created/modified</t>
  </si>
  <si>
    <t>Guide</t>
  </si>
  <si>
    <t>Modifications</t>
  </si>
  <si>
    <t>Naming convention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</si>
  <si>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</si>
  <si>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</si>
  <si>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</si>
  <si>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</si>
  <si>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</si>
  <si>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</si>
  <si>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</si>
  <si>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Application purpose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</si>
  <si>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</si>
  <si>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</si>
  <si>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</si>
  <si>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</si>
  <si>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</si>
  <si>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</si>
  <si>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</si>
  <si>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</si>
  <si>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</si>
  <si>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Same as application.</t>
  </si>
  <si>
    <t>25-Apr-2008A</t>
  </si>
  <si>
    <t>Paul Oulton</t>
  </si>
  <si>
    <t>Create LinkTag here</t>
  </si>
  <si>
    <t>Total</t>
  </si>
  <si>
    <t>Grand total</t>
  </si>
  <si>
    <t>Inputs</t>
  </si>
  <si>
    <t>Calculations</t>
  </si>
  <si>
    <t>Cost of sales %</t>
  </si>
  <si>
    <t>Prod A</t>
  </si>
  <si>
    <t>Prod B</t>
  </si>
  <si>
    <t>Year</t>
  </si>
  <si>
    <t>Cost of sales</t>
  </si>
  <si>
    <t>Sales</t>
  </si>
  <si>
    <t>Gross profit</t>
  </si>
  <si>
    <t>Gross profit %</t>
  </si>
  <si>
    <t>Overheads</t>
  </si>
  <si>
    <t>Net profit</t>
  </si>
  <si>
    <t>Overheads allocated</t>
  </si>
  <si>
    <t>Rent</t>
  </si>
  <si>
    <t>Rates</t>
  </si>
  <si>
    <t>Services</t>
  </si>
  <si>
    <t>Property insurance</t>
  </si>
  <si>
    <t>Establishment</t>
  </si>
  <si>
    <t>Telephone</t>
  </si>
  <si>
    <t>Electricity</t>
  </si>
  <si>
    <t>Gas</t>
  </si>
  <si>
    <t>Utilities</t>
  </si>
  <si>
    <t>Vehicle repair&amp;maint</t>
  </si>
  <si>
    <t>Vehicle tax &amp; insur.</t>
  </si>
  <si>
    <t>Petrol &amp; expenses</t>
  </si>
  <si>
    <t>Vehicle</t>
  </si>
  <si>
    <t>Stationery</t>
  </si>
  <si>
    <t>Audit</t>
  </si>
  <si>
    <t>Legal</t>
  </si>
  <si>
    <t>Sundry</t>
  </si>
  <si>
    <t>Office</t>
  </si>
  <si>
    <t>Supplies &amp; leases</t>
  </si>
  <si>
    <t>Non-office overheads</t>
  </si>
  <si>
    <t>Professional</t>
  </si>
  <si>
    <t>ProdCode</t>
  </si>
  <si>
    <t>Region</t>
  </si>
  <si>
    <t>Size</t>
  </si>
  <si>
    <t>S</t>
  </si>
  <si>
    <t>M</t>
  </si>
  <si>
    <t>L</t>
  </si>
  <si>
    <t>North</t>
  </si>
  <si>
    <t>South</t>
  </si>
  <si>
    <t>Summary profit</t>
  </si>
  <si>
    <t>Net profit %</t>
  </si>
  <si>
    <t>Management overheads</t>
  </si>
  <si>
    <t>Admin overheads</t>
  </si>
  <si>
    <t>Total overheads</t>
  </si>
  <si>
    <t>Product profitability</t>
  </si>
  <si>
    <t>Imported sales data</t>
  </si>
  <si>
    <t>Equipment leases</t>
  </si>
  <si>
    <t>Create product profitability reports.</t>
  </si>
  <si>
    <t>Admin and management overheads on mAdmin and mMgmt. Cost of sales % on iCostAlloc.</t>
  </si>
  <si>
    <t>Sales data imported from SPS system to sSales.</t>
  </si>
  <si>
    <t>dTotOhds calculates total overheads. iCostAlloc calculates overheads allocated to products.</t>
  </si>
  <si>
    <t>rSummary, rProdProfit, dTotOhds, mAdmin and mMgmt.</t>
  </si>
  <si>
    <t>Month</t>
  </si>
  <si>
    <t>DataItem</t>
  </si>
  <si>
    <t>Value</t>
  </si>
  <si>
    <t>To MAS</t>
  </si>
  <si>
    <t>COS</t>
  </si>
  <si>
    <t>Text file SalesYYYY.csv where YYYY is 4-digit year.</t>
  </si>
  <si>
    <t>WestTec</t>
  </si>
  <si>
    <t>Product Profitability</t>
  </si>
  <si>
    <t>PPyyyy.CSV comma-separated text file where yyyy is four-digit year.</t>
  </si>
  <si>
    <t>User tasks</t>
  </si>
  <si>
    <t>Right-click in the data range and from the menu that appears, choose Refresh data .</t>
  </si>
  <si>
    <t>Import sales data</t>
  </si>
  <si>
    <t>Go to sSales sheet</t>
  </si>
  <si>
    <t>Select the text file to import. The name of the file should be SALESyyyy.CSV where yyyy is year.</t>
  </si>
  <si>
    <t>Insert new overheads data items</t>
  </si>
  <si>
    <t>Input data in mAdmin, mMgmt and iCostAlloc. Input cells have a blue font.</t>
  </si>
  <si>
    <t>Insert rows as required, copy other input rows into the inserted rows and modify as required.</t>
  </si>
  <si>
    <t>Ungroup the sheets. You can do that by clicking on an ungrouped sheet.</t>
  </si>
  <si>
    <t>The changes that you make change all three sheets simultaneously .</t>
  </si>
  <si>
    <t>Maintenance tasks</t>
  </si>
  <si>
    <t>Print reports</t>
  </si>
  <si>
    <t>Group the sheets rSummary, rProdProfit, dTotOhds, mAdmin and mMgmt.</t>
  </si>
  <si>
    <t>You can do that by clicking the first, holding down Shift and clicking the last.</t>
  </si>
  <si>
    <t>Group the sheets dTotOhds, mAdmin and mMgmt.</t>
  </si>
  <si>
    <t>Print</t>
  </si>
  <si>
    <t>Insert new products</t>
  </si>
  <si>
    <t>Create MAS output file</t>
  </si>
  <si>
    <t>Select the range named dteOutput and copy it.</t>
  </si>
  <si>
    <t>Select A1 in the first sheet of the blank workbook.</t>
  </si>
  <si>
    <t>Right-click, choose Paste Special | Values | OK.</t>
  </si>
  <si>
    <t>Enter the file name PP2008, where the year is the current relevant year.</t>
  </si>
  <si>
    <t>8)</t>
  </si>
  <si>
    <t>9)</t>
  </si>
  <si>
    <t>Choose OK and Yes to the prompts that appear.</t>
  </si>
  <si>
    <t>Go to oMAS.</t>
  </si>
  <si>
    <t>Create a blank workbook.</t>
  </si>
  <si>
    <t>Choose File | Save As.</t>
  </si>
  <si>
    <r>
      <t xml:space="preserve">Set </t>
    </r>
    <r>
      <rPr>
        <i/>
        <sz val="8"/>
        <rFont val="Arial"/>
        <family val="2"/>
      </rPr>
      <t>Save as type</t>
    </r>
    <r>
      <rPr>
        <sz val="8"/>
        <rFont val="Arial"/>
        <family val="0"/>
      </rPr>
      <t xml:space="preserve"> to Comma Delimited.</t>
    </r>
  </si>
  <si>
    <t>Choose Save.</t>
  </si>
  <si>
    <t>Input Overheads and Cost of sales percentages</t>
  </si>
  <si>
    <t>Go to iCostAlloc</t>
  </si>
  <si>
    <t>Insert rows for additional products in the multiple places that products appear.</t>
  </si>
  <si>
    <t>Copy adjacent product rows into the inserted rows.</t>
  </si>
  <si>
    <t>Be sure to insert all rows in all places before the next step.</t>
  </si>
  <si>
    <t>Do the same as above for rSummary and oMAS sheets.</t>
  </si>
  <si>
    <t>Melissa Shepherd provided the MAS product codes needed for the output text file created.</t>
  </si>
  <si>
    <t>Get MAS product codes from Melissa Shepherd.</t>
  </si>
  <si>
    <t>From oMAS: Sales, Cost of sales and Overheads by product and by month.</t>
  </si>
  <si>
    <t>Cost calculations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</si>
  <si>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</si>
  <si>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</si>
  <si>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</si>
  <si>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</si>
  <si>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</si>
  <si>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</si>
  <si>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</si>
  <si>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</si>
  <si>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</si>
  <si>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</si>
  <si>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</si>
  <si>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</si>
  <si>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Full year</t>
  </si>
  <si>
    <t>Period</t>
  </si>
  <si>
    <t>YTD</t>
  </si>
  <si>
    <t>Current month number</t>
  </si>
  <si>
    <t>Current month</t>
  </si>
  <si>
    <t>% of total</t>
  </si>
  <si>
    <t>Local currency</t>
  </si>
  <si>
    <t>East</t>
  </si>
  <si>
    <t>West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</si>
</sst>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;0_);* @_)"/>
    <numFmt numFmtId="173" formatCode="#,##0.0_);\(#,##0.0\);0.0_);* @_)"/>
    <numFmt numFmtId="174" formatCode="#,##0.00_);\(#,##0.00\);0.00_);* @_)"/>
    <numFmt numFmtId="175" formatCode="#,##0.000_);\(#,##0.000\);0.000_);* @_)"/>
    <numFmt numFmtId="176" formatCode="#,##0.0000_);\(#,##0.0000\);0.0000_);* @_)"/>
    <numFmt numFmtId="177" formatCode="0;\-0;0;* @"/>
    <numFmt numFmtId="178" formatCode="0%;\-0%;0%;* @_%"/>
    <numFmt numFmtId="179" formatCode="0.0%;\-0.0%;0.0%;* @_%"/>
    <numFmt numFmtId="180" formatCode="0.00%;\-0.00%;0.00%;* @_%"/>
    <numFmt numFmtId="181" formatCode="0.000%;\-0.000%;0.000%;* @_%"/>
    <numFmt numFmtId="182" formatCode="&quot;$&quot;* #,##0_);&quot;$&quot;* \(#,##0\);&quot;$&quot;* 0_);* @_)"/>
    <numFmt numFmtId="183" formatCode="&quot;$&quot;* #,##0.0_);&quot;$&quot;* \(#,##0.0\);&quot;$&quot;* 0.0_);* @_)"/>
    <numFmt numFmtId="184" formatCode="&quot;$&quot;* #,##0.00_);&quot;$&quot;* \(#,##0.00\);&quot;$&quot;* 0.00_);* @_)"/>
    <numFmt numFmtId="185" formatCode="&quot;$&quot;* #,##0.000_);&quot;$&quot;* \(#,##0.000\);&quot;$&quot;* 0.000_);* @_)"/>
    <numFmt numFmtId="186" formatCode="&quot;$&quot;* #,##0.0000_);&quot;$&quot;* \(#,##0.0000\);&quot;$&quot;* 0.0000_);* @_)"/>
    <numFmt numFmtId="187" formatCode="d\-mmm\-yyyy;[Red]&quot;Not date&quot;;&quot;-&quot;;[Red]* &quot;Not date&quot;"/>
    <numFmt numFmtId="188" formatCode="d\-mmm\-yyyy\ h:mm\ AM/PM;[Red]* &quot;Not date&quot;;&quot;-&quot;;[Red]* &quot;Not date&quot;"/>
    <numFmt numFmtId="189" formatCode="d/mm/yyyy;[Red]* &quot;Not date&quot;;&quot;-&quot;;[Red]* &quot;Not date&quot;"/>
    <numFmt numFmtId="190" formatCode="mmm\-yy;[Red]* &quot;Not date&quot;;&quot;-&quot;;[Red]* &quot;Not date&quot;"/>
    <numFmt numFmtId="191" formatCode="h:mm\ AM/PM;[Red]* &quot;Not time&quot;;\-;[Red]* &quot;Not time&quot;"/>
    <numFmt numFmtId="192" formatCode="[h]:mm;[Red]* &quot;Not time&quot;;[h]:mm;[Red]* &quot;Not time&quot;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mm/dd/yyyy;[Red]* &quot;Not date&quot;;&quot;-&quot;;[Red]* &quot;Not date&quot;"/>
    <numFmt numFmtId="196" formatCode="d\-mmm;[Red]&quot;Not date&quot;;&quot;-&quot;;[Red]* &quot;Not date&quot;"/>
    <numFmt numFmtId="197" formatCode="#,##0,_);\(#,##0,\);0_);* @_)"/>
    <numFmt numFmtId="198" formatCode="#,##0,,_);\(#,##0,,\);0_);* @_)"/>
    <numFmt numFmtId="199" formatCode="\$* #,##0,_);\$* \(#,##0,\);\$* 0_);* @_)"/>
    <numFmt numFmtId="200" formatCode="\$* #,##0,,_);\$* \(#,##0,,\);\$* 0_);* @_)"/>
  </numFmts>
  <fonts count="51">
    <font>
      <sz val="8"/>
      <name val="Arial"/>
      <family val="0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36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58"/>
      <name val="Calibri"/>
      <family val="2"/>
    </font>
    <font>
      <sz val="14"/>
      <color indexed="36"/>
      <name val="Calibri"/>
      <family val="2"/>
    </font>
    <font>
      <sz val="14"/>
      <color indexed="59"/>
      <name val="Calibri"/>
      <family val="2"/>
    </font>
    <font>
      <sz val="14"/>
      <color indexed="23"/>
      <name val="Calibri"/>
      <family val="2"/>
    </font>
    <font>
      <b/>
      <sz val="14"/>
      <color indexed="63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8"/>
      <color indexed="9"/>
      <name val="Arial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</borders>
  <cellStyleXfs count="148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2" fontId="0" fillId="0" borderId="0" applyFill="0" applyBorder="0">
      <alignment/>
      <protection/>
    </xf>
    <xf numFmtId="197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73" fontId="0" fillId="0" borderId="0" applyFill="0" applyBorder="0">
      <alignment/>
      <protection/>
    </xf>
    <xf numFmtId="174" fontId="0" fillId="0" borderId="0" applyFill="0" applyBorder="0">
      <alignment/>
      <protection/>
    </xf>
    <xf numFmtId="175" fontId="0" fillId="0" borderId="0" applyFill="0" applyBorder="0">
      <alignment/>
      <protection/>
    </xf>
    <xf numFmtId="176" fontId="0" fillId="0" borderId="0" applyFill="0" applyBorder="0">
      <alignment/>
      <protection/>
    </xf>
    <xf numFmtId="196" fontId="0" fillId="0" borderId="0" applyFill="0" applyBorder="0">
      <alignment/>
      <protection/>
    </xf>
    <xf numFmtId="187" fontId="0" fillId="0" borderId="0" applyFill="0" applyBorder="0">
      <alignment/>
      <protection/>
    </xf>
    <xf numFmtId="188" fontId="0" fillId="0" borderId="0" applyFill="0" applyBorder="0">
      <alignment/>
      <protection/>
    </xf>
    <xf numFmtId="189" fontId="0" fillId="0" borderId="0" applyFill="0" applyBorder="0">
      <alignment/>
      <protection/>
    </xf>
    <xf numFmtId="195" fontId="0" fillId="0" borderId="0" applyFill="0" applyBorder="0">
      <alignment/>
      <protection/>
    </xf>
    <xf numFmtId="190" fontId="0" fillId="0" borderId="0" applyFill="0" applyBorder="0">
      <alignment/>
      <protection/>
    </xf>
    <xf numFmtId="190" fontId="0" fillId="0" borderId="0" applyFill="0" applyBorder="0">
      <alignment horizontal="center"/>
      <protection/>
    </xf>
    <xf numFmtId="177" fontId="0" fillId="0" borderId="0" applyFill="0" applyBorder="0">
      <alignment/>
      <protection/>
    </xf>
    <xf numFmtId="0" fontId="38" fillId="28" borderId="2" applyNumberFormat="0" applyAlignment="0" applyProtection="0"/>
    <xf numFmtId="191" fontId="0" fillId="0" borderId="0" applyFill="0" applyBorder="0">
      <alignment/>
      <protection/>
    </xf>
    <xf numFmtId="192" fontId="0" fillId="0" borderId="0" applyFill="0" applyBorder="0">
      <alignment/>
      <protection/>
    </xf>
    <xf numFmtId="178" fontId="0" fillId="0" borderId="0" applyFill="0" applyBorder="0">
      <alignment/>
      <protection/>
    </xf>
    <xf numFmtId="179" fontId="6" fillId="0" borderId="0" applyFill="0" applyBorder="0">
      <alignment/>
      <protection/>
    </xf>
    <xf numFmtId="180" fontId="0" fillId="0" borderId="0" applyFill="0" applyBorder="0">
      <alignment/>
      <protection/>
    </xf>
    <xf numFmtId="181" fontId="0" fillId="0" borderId="0" applyFill="0" applyBorder="0">
      <alignment/>
      <protection/>
    </xf>
    <xf numFmtId="182" fontId="0" fillId="0" borderId="0" applyFill="0" applyBorder="0">
      <alignment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83" fontId="0" fillId="0" borderId="0" applyFill="0" applyBorder="0">
      <alignment/>
      <protection/>
    </xf>
    <xf numFmtId="184" fontId="0" fillId="0" borderId="0" applyFill="0" applyBorder="0">
      <alignment/>
      <protection/>
    </xf>
    <xf numFmtId="185" fontId="0" fillId="0" borderId="0" applyFill="0" applyBorder="0">
      <alignment/>
      <protection/>
    </xf>
    <xf numFmtId="186" fontId="0" fillId="0" borderId="0" applyFill="0" applyBorder="0">
      <alignment/>
      <protection/>
    </xf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 applyFill="0" applyBorder="0">
      <alignment/>
      <protection/>
    </xf>
    <xf numFmtId="0" fontId="7" fillId="0" borderId="0" applyFill="0" applyBorder="0">
      <alignment/>
      <protection/>
    </xf>
    <xf numFmtId="0" fontId="8" fillId="0" borderId="0" applyFill="0" applyBorder="0">
      <alignment/>
      <protection/>
    </xf>
    <xf numFmtId="0" fontId="3" fillId="0" borderId="0" applyFill="0" applyBorder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Fill="0" applyBorder="0">
      <alignment horizontal="left"/>
      <protection hidden="1"/>
    </xf>
    <xf numFmtId="0" fontId="5" fillId="0" borderId="0" applyFill="0" applyBorder="0">
      <alignment horizontal="left" indent="1"/>
      <protection hidden="1"/>
    </xf>
    <xf numFmtId="0" fontId="5" fillId="0" borderId="0" applyFill="0" applyBorder="0">
      <alignment horizontal="left" indent="2"/>
      <protection hidden="1"/>
    </xf>
    <xf numFmtId="0" fontId="5" fillId="0" borderId="0" applyFill="0" applyBorder="0">
      <alignment horizontal="left" indent="3"/>
      <protection hidden="1"/>
    </xf>
    <xf numFmtId="0" fontId="5" fillId="0" borderId="0" applyNumberFormat="0" applyFill="0" applyBorder="0" applyAlignment="0" applyProtection="0"/>
    <xf numFmtId="172" fontId="4" fillId="0" borderId="0" applyFill="0" applyBorder="0">
      <alignment/>
      <protection locked="0"/>
    </xf>
    <xf numFmtId="197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3" fontId="4" fillId="0" borderId="0" applyFill="0" applyBorder="0">
      <alignment/>
      <protection locked="0"/>
    </xf>
    <xf numFmtId="174" fontId="4" fillId="0" borderId="0" applyFill="0" applyBorder="0">
      <alignment/>
      <protection locked="0"/>
    </xf>
    <xf numFmtId="175" fontId="4" fillId="0" borderId="0" applyFill="0" applyBorder="0">
      <alignment/>
      <protection locked="0"/>
    </xf>
    <xf numFmtId="176" fontId="4" fillId="0" borderId="0" applyFill="0" applyBorder="0">
      <alignment/>
      <protection locked="0"/>
    </xf>
    <xf numFmtId="196" fontId="4" fillId="0" borderId="0" applyFill="0" applyBorder="0">
      <alignment vertical="top"/>
      <protection locked="0"/>
    </xf>
    <xf numFmtId="193" fontId="4" fillId="0" borderId="0" applyFill="0" applyBorder="0">
      <alignment/>
      <protection locked="0"/>
    </xf>
    <xf numFmtId="194" fontId="4" fillId="0" borderId="0" applyFill="0" applyBorder="0">
      <alignment/>
      <protection locked="0"/>
    </xf>
    <xf numFmtId="189" fontId="4" fillId="0" borderId="0" applyFill="0" applyBorder="0">
      <alignment/>
      <protection locked="0"/>
    </xf>
    <xf numFmtId="195" fontId="4" fillId="0" borderId="0" applyFill="0" applyBorder="0">
      <alignment/>
      <protection locked="0"/>
    </xf>
    <xf numFmtId="190" fontId="4" fillId="0" borderId="0" applyFill="0" applyBorder="0">
      <alignment/>
      <protection locked="0"/>
    </xf>
    <xf numFmtId="177" fontId="4" fillId="0" borderId="0" applyFill="0" applyBorder="0">
      <alignment/>
      <protection locked="0"/>
    </xf>
    <xf numFmtId="177" fontId="11" fillId="0" borderId="0" applyFill="0" applyBorder="0">
      <alignment/>
      <protection locked="0"/>
    </xf>
    <xf numFmtId="177" fontId="4" fillId="0" borderId="0" applyFill="0" applyBorder="0">
      <alignment/>
      <protection locked="0"/>
    </xf>
    <xf numFmtId="49" fontId="4" fillId="0" borderId="0" applyFill="0" applyBorder="0">
      <alignment vertical="top"/>
      <protection locked="0"/>
    </xf>
    <xf numFmtId="49" fontId="11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1" fontId="4" fillId="0" borderId="0" applyFill="0" applyBorder="0">
      <alignment/>
      <protection locked="0"/>
    </xf>
    <xf numFmtId="192" fontId="4" fillId="0" borderId="0" applyFill="0" applyBorder="0">
      <alignment/>
      <protection locked="0"/>
    </xf>
    <xf numFmtId="0" fontId="44" fillId="30" borderId="1" applyNumberFormat="0" applyAlignment="0" applyProtection="0"/>
    <xf numFmtId="178" fontId="4" fillId="0" borderId="0" applyFill="0" applyBorder="0">
      <alignment/>
      <protection locked="0"/>
    </xf>
    <xf numFmtId="179" fontId="4" fillId="0" borderId="0" applyFill="0" applyBorder="0">
      <alignment/>
      <protection locked="0"/>
    </xf>
    <xf numFmtId="180" fontId="4" fillId="0" borderId="0" applyFill="0" applyBorder="0">
      <alignment/>
      <protection locked="0"/>
    </xf>
    <xf numFmtId="181" fontId="4" fillId="0" borderId="0" applyFill="0" applyBorder="0">
      <alignment/>
      <protection locked="0"/>
    </xf>
    <xf numFmtId="182" fontId="4" fillId="0" borderId="0" applyFill="0" applyBorder="0">
      <alignment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183" fontId="4" fillId="0" borderId="0" applyFill="0" applyBorder="0">
      <alignment/>
      <protection locked="0"/>
    </xf>
    <xf numFmtId="184" fontId="4" fillId="0" borderId="0" applyFill="0" applyBorder="0">
      <alignment/>
      <protection locked="0"/>
    </xf>
    <xf numFmtId="185" fontId="4" fillId="0" borderId="0" applyFill="0" applyBorder="0">
      <alignment/>
      <protection locked="0"/>
    </xf>
    <xf numFmtId="186" fontId="4" fillId="0" borderId="0" applyFill="0" applyBorder="0">
      <alignment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0" fontId="45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0" fontId="13" fillId="0" borderId="0" applyFill="0" applyBorder="0">
      <alignment horizontal="center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0" fillId="0" borderId="0" applyFill="0" applyBorder="0">
      <alignment horizontal="center"/>
      <protection/>
    </xf>
    <xf numFmtId="0" fontId="13" fillId="33" borderId="0" applyFill="0" applyBorder="0">
      <alignment horizontal="left"/>
      <protection/>
    </xf>
    <xf numFmtId="0" fontId="0" fillId="0" borderId="0" applyFill="0" applyBorder="0">
      <alignment horizontal="center" wrapText="1"/>
      <protection/>
    </xf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7" xfId="74" applyFill="1" applyBorder="1">
      <alignment/>
      <protection/>
    </xf>
    <xf numFmtId="0" fontId="7" fillId="33" borderId="12" xfId="74" applyFill="1" applyBorder="1">
      <alignment/>
      <protection/>
    </xf>
    <xf numFmtId="0" fontId="3" fillId="0" borderId="0" xfId="132">
      <alignment vertical="top"/>
      <protection/>
    </xf>
    <xf numFmtId="0" fontId="0" fillId="0" borderId="0" xfId="137">
      <alignment horizontal="left" vertical="top" indent="1"/>
      <protection/>
    </xf>
    <xf numFmtId="0" fontId="4" fillId="0" borderId="0" xfId="104">
      <alignment vertical="top" wrapText="1"/>
      <protection locked="0"/>
    </xf>
    <xf numFmtId="0" fontId="0" fillId="0" borderId="0" xfId="138">
      <alignment horizontal="left" vertical="top" indent="2"/>
      <protection/>
    </xf>
    <xf numFmtId="0" fontId="0" fillId="0" borderId="0" xfId="137" applyBorder="1">
      <alignment horizontal="left" vertical="top" indent="1"/>
      <protection/>
    </xf>
    <xf numFmtId="0" fontId="0" fillId="0" borderId="0" xfId="138" applyBorder="1">
      <alignment horizontal="left" vertical="top" indent="2"/>
      <protection/>
    </xf>
    <xf numFmtId="49" fontId="4" fillId="0" borderId="0" xfId="119">
      <alignment horizontal="left" vertical="top"/>
      <protection locked="0"/>
    </xf>
    <xf numFmtId="0" fontId="3" fillId="0" borderId="0" xfId="132" applyBorder="1">
      <alignment vertical="top"/>
      <protection/>
    </xf>
    <xf numFmtId="0" fontId="3" fillId="0" borderId="0" xfId="133" applyBorder="1">
      <alignment horizontal="left" vertical="top" indent="1"/>
      <protection/>
    </xf>
    <xf numFmtId="176" fontId="4" fillId="0" borderId="10" xfId="92" applyBorder="1">
      <alignment/>
      <protection locked="0"/>
    </xf>
    <xf numFmtId="0" fontId="8" fillId="33" borderId="12" xfId="75" applyFill="1" applyBorder="1">
      <alignment/>
      <protection/>
    </xf>
    <xf numFmtId="0" fontId="4" fillId="0" borderId="0" xfId="104" applyFont="1">
      <alignment vertical="top" wrapText="1"/>
      <protection locked="0"/>
    </xf>
    <xf numFmtId="0" fontId="0" fillId="33" borderId="16" xfId="146" applyFill="1" applyBorder="1">
      <alignment horizontal="center" wrapText="1"/>
      <protection/>
    </xf>
    <xf numFmtId="0" fontId="0" fillId="33" borderId="13" xfId="146" applyFill="1" applyBorder="1">
      <alignment horizontal="center" wrapText="1"/>
      <protection/>
    </xf>
    <xf numFmtId="0" fontId="0" fillId="33" borderId="11" xfId="146" applyFill="1" applyBorder="1">
      <alignment horizontal="center" wrapText="1"/>
      <protection/>
    </xf>
    <xf numFmtId="0" fontId="7" fillId="33" borderId="17" xfId="74" applyFont="1" applyFill="1" applyBorder="1">
      <alignment/>
      <protection/>
    </xf>
    <xf numFmtId="0" fontId="0" fillId="0" borderId="12" xfId="0" applyFill="1" applyBorder="1" applyAlignment="1">
      <alignment/>
    </xf>
    <xf numFmtId="0" fontId="3" fillId="0" borderId="12" xfId="132" applyFill="1" applyBorder="1">
      <alignment vertical="top"/>
      <protection/>
    </xf>
    <xf numFmtId="0" fontId="3" fillId="0" borderId="12" xfId="133" applyFill="1" applyBorder="1">
      <alignment horizontal="left" vertical="top" indent="1"/>
      <protection/>
    </xf>
    <xf numFmtId="172" fontId="4" fillId="0" borderId="0" xfId="86" applyBorder="1">
      <alignment/>
      <protection locked="0"/>
    </xf>
    <xf numFmtId="172" fontId="0" fillId="0" borderId="0" xfId="41" applyBorder="1">
      <alignment/>
      <protection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138" applyFill="1" applyBorder="1">
      <alignment horizontal="left" vertical="top" indent="2"/>
      <protection/>
    </xf>
    <xf numFmtId="0" fontId="0" fillId="0" borderId="12" xfId="138" applyBorder="1">
      <alignment horizontal="left" vertical="top" indent="2"/>
      <protection/>
    </xf>
    <xf numFmtId="0" fontId="0" fillId="0" borderId="12" xfId="137" applyBorder="1">
      <alignment horizontal="left" vertical="top" indent="1"/>
      <protection/>
    </xf>
    <xf numFmtId="0" fontId="0" fillId="0" borderId="12" xfId="136" applyBorder="1">
      <alignment vertical="top"/>
      <protection/>
    </xf>
    <xf numFmtId="0" fontId="0" fillId="0" borderId="16" xfId="0" applyBorder="1" applyAlignment="1">
      <alignment/>
    </xf>
    <xf numFmtId="0" fontId="3" fillId="0" borderId="12" xfId="132" applyBorder="1">
      <alignment vertical="top"/>
      <protection/>
    </xf>
    <xf numFmtId="0" fontId="3" fillId="0" borderId="12" xfId="133" applyBorder="1">
      <alignment horizontal="left" vertical="top" indent="1"/>
      <protection/>
    </xf>
    <xf numFmtId="178" fontId="0" fillId="0" borderId="0" xfId="59" applyBorder="1">
      <alignment/>
      <protection/>
    </xf>
    <xf numFmtId="178" fontId="4" fillId="0" borderId="0" xfId="108" applyBorder="1">
      <alignment/>
      <protection locked="0"/>
    </xf>
    <xf numFmtId="0" fontId="0" fillId="33" borderId="16" xfId="144" applyFill="1" applyBorder="1">
      <alignment horizontal="center"/>
      <protection/>
    </xf>
    <xf numFmtId="1" fontId="0" fillId="0" borderId="10" xfId="0" applyNumberFormat="1" applyBorder="1" applyAlignment="1">
      <alignment/>
    </xf>
    <xf numFmtId="0" fontId="0" fillId="0" borderId="12" xfId="137" applyFill="1" applyBorder="1">
      <alignment horizontal="left" vertical="top" indent="1"/>
      <protection/>
    </xf>
    <xf numFmtId="172" fontId="0" fillId="0" borderId="19" xfId="41" applyBorder="1">
      <alignment/>
      <protection/>
    </xf>
    <xf numFmtId="172" fontId="0" fillId="0" borderId="20" xfId="41" applyBorder="1">
      <alignment/>
      <protection/>
    </xf>
    <xf numFmtId="172" fontId="0" fillId="0" borderId="0" xfId="41">
      <alignment/>
      <protection/>
    </xf>
    <xf numFmtId="172" fontId="0" fillId="0" borderId="18" xfId="41" applyBorder="1">
      <alignment/>
      <protection/>
    </xf>
    <xf numFmtId="0" fontId="0" fillId="0" borderId="14" xfId="0" applyBorder="1" applyAlignment="1">
      <alignment/>
    </xf>
    <xf numFmtId="172" fontId="0" fillId="0" borderId="14" xfId="41" applyBorder="1">
      <alignment/>
      <protection/>
    </xf>
    <xf numFmtId="0" fontId="0" fillId="0" borderId="21" xfId="0" applyBorder="1" applyAlignment="1">
      <alignment/>
    </xf>
    <xf numFmtId="0" fontId="3" fillId="0" borderId="0" xfId="134" applyBorder="1">
      <alignment horizontal="left" vertical="top" indent="2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138" applyFill="1" applyBorder="1">
      <alignment horizontal="left" vertical="top" indent="2"/>
      <protection/>
    </xf>
    <xf numFmtId="0" fontId="0" fillId="33" borderId="16" xfId="144" applyFont="1" applyFill="1" applyBorder="1">
      <alignment horizontal="center"/>
      <protection/>
    </xf>
    <xf numFmtId="0" fontId="0" fillId="33" borderId="11" xfId="144" applyFont="1" applyFill="1" applyBorder="1">
      <alignment horizontal="center"/>
      <protection/>
    </xf>
    <xf numFmtId="172" fontId="0" fillId="0" borderId="22" xfId="41" applyBorder="1">
      <alignment/>
      <protection/>
    </xf>
    <xf numFmtId="172" fontId="0" fillId="0" borderId="23" xfId="41" applyBorder="1">
      <alignment/>
      <protection/>
    </xf>
    <xf numFmtId="0" fontId="0" fillId="0" borderId="22" xfId="0" applyBorder="1" applyAlignment="1">
      <alignment/>
    </xf>
    <xf numFmtId="0" fontId="0" fillId="33" borderId="16" xfId="146" applyFont="1" applyFill="1" applyBorder="1">
      <alignment horizontal="center" wrapText="1"/>
      <protection/>
    </xf>
    <xf numFmtId="178" fontId="0" fillId="0" borderId="24" xfId="59" applyBorder="1">
      <alignment/>
      <protection/>
    </xf>
    <xf numFmtId="178" fontId="0" fillId="0" borderId="25" xfId="59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0" fillId="0" borderId="26" xfId="59" applyBorder="1">
      <alignment/>
      <protection/>
    </xf>
    <xf numFmtId="172" fontId="0" fillId="0" borderId="25" xfId="41" applyBorder="1">
      <alignment/>
      <protection/>
    </xf>
    <xf numFmtId="172" fontId="0" fillId="0" borderId="0" xfId="41" applyFill="1" applyBorder="1">
      <alignment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0k -CalCommaThousand" xfId="42"/>
    <cellStyle name="cc0m -CalCommaMillion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heck Cell" xfId="56"/>
    <cellStyle name="cmHM  -CalTime" xfId="57"/>
    <cellStyle name="cmHM24+ -CalTime" xfId="58"/>
    <cellStyle name="cp0 -CalPercent" xfId="59"/>
    <cellStyle name="cp1 -CalPercent" xfId="60"/>
    <cellStyle name="cp2 -CalPercent" xfId="61"/>
    <cellStyle name="cp3 -CalPercent" xfId="62"/>
    <cellStyle name="cr0 -CalCurr" xfId="63"/>
    <cellStyle name="cr0k -CalCurrThousand" xfId="64"/>
    <cellStyle name="cr0m -CalCurrMillion" xfId="65"/>
    <cellStyle name="cr1 -CalCurr" xfId="66"/>
    <cellStyle name="cr2 -CalCurr" xfId="67"/>
    <cellStyle name="cr3 -CalCurr" xfId="68"/>
    <cellStyle name="cr4 -CalCurr" xfId="69"/>
    <cellStyle name="Explanatory Text" xfId="70"/>
    <cellStyle name="Followed Hyperlink" xfId="71"/>
    <cellStyle name="Good" xfId="72"/>
    <cellStyle name="h0 -Heading" xfId="73"/>
    <cellStyle name="h1 -Heading" xfId="74"/>
    <cellStyle name="h2 -Heading" xfId="75"/>
    <cellStyle name="h3 -Heading" xfId="76"/>
    <cellStyle name="Heading 1" xfId="77"/>
    <cellStyle name="Heading 2" xfId="78"/>
    <cellStyle name="Heading 3" xfId="79"/>
    <cellStyle name="Heading 4" xfId="80"/>
    <cellStyle name="hp0 -Hyperlink" xfId="81"/>
    <cellStyle name="hp1 -Hyperlink" xfId="82"/>
    <cellStyle name="hp2 -Hyperlink" xfId="83"/>
    <cellStyle name="hp3 -Hyperlink" xfId="84"/>
    <cellStyle name="Hyperlink" xfId="85"/>
    <cellStyle name="ic0 -InpComma" xfId="86"/>
    <cellStyle name="ic0k -InpCommaThousand" xfId="87"/>
    <cellStyle name="ic0m -InpCommaMillion" xfId="88"/>
    <cellStyle name="ic1 -InpComma" xfId="89"/>
    <cellStyle name="ic2 -InpComma" xfId="90"/>
    <cellStyle name="ic3 -InpComma" xfId="91"/>
    <cellStyle name="ic4 -InpComma" xfId="92"/>
    <cellStyle name="idDMM -InpDate" xfId="93"/>
    <cellStyle name="idDMMY -InpDate" xfId="94"/>
    <cellStyle name="idDMMYHM -InpDateTime" xfId="95"/>
    <cellStyle name="idDMY -InpDate" xfId="96"/>
    <cellStyle name="idMDY -InpDate" xfId="97"/>
    <cellStyle name="idMMY -InpDate" xfId="98"/>
    <cellStyle name="if0 -InpFixed" xfId="99"/>
    <cellStyle name="if0b-InpFixedB" xfId="100"/>
    <cellStyle name="if0-InpFixed" xfId="101"/>
    <cellStyle name="iln -InpTableTextNoWrap" xfId="102"/>
    <cellStyle name="ilnb-InpTableTextNoWrapB" xfId="103"/>
    <cellStyle name="ilw -InpTableTextWrap" xfId="104"/>
    <cellStyle name="imHM  -InpTime" xfId="105"/>
    <cellStyle name="imHM24+ -InpTime" xfId="106"/>
    <cellStyle name="Input" xfId="107"/>
    <cellStyle name="ip0 -InpPercent" xfId="108"/>
    <cellStyle name="ip1 -InpPercent" xfId="109"/>
    <cellStyle name="ip2 -InpPercent" xfId="110"/>
    <cellStyle name="ip3 -InpPercent" xfId="111"/>
    <cellStyle name="ir0 -InpCurr" xfId="112"/>
    <cellStyle name="ir0k -InpCurrThousand" xfId="113"/>
    <cellStyle name="ir0m -InpCurrMillion" xfId="114"/>
    <cellStyle name="ir1 -InpCurr" xfId="115"/>
    <cellStyle name="ir2 -InpCurr" xfId="116"/>
    <cellStyle name="ir3 -InpCurr" xfId="117"/>
    <cellStyle name="ir4 -InpCurr" xfId="118"/>
    <cellStyle name="is0 -InpSideText" xfId="119"/>
    <cellStyle name="is1 -InpSideText" xfId="120"/>
    <cellStyle name="is2 -InpSideText" xfId="121"/>
    <cellStyle name="is3 -InpSideText" xfId="122"/>
    <cellStyle name="is4 -InpSideText" xfId="123"/>
    <cellStyle name="itn -InpTopTextNoWrap" xfId="124"/>
    <cellStyle name="itw -InpTopTextWrap" xfId="125"/>
    <cellStyle name="Linked Cell" xfId="126"/>
    <cellStyle name="ltn -TableTextNoWrap" xfId="127"/>
    <cellStyle name="ltw -TableTextWrap" xfId="128"/>
    <cellStyle name="Neutral" xfId="129"/>
    <cellStyle name="Note" xfId="130"/>
    <cellStyle name="Output" xfId="131"/>
    <cellStyle name="sh0 -SideHeading" xfId="132"/>
    <cellStyle name="sh1 -SideHeading" xfId="133"/>
    <cellStyle name="sh2 -SideHeading" xfId="134"/>
    <cellStyle name="sh3 -SideHeading" xfId="135"/>
    <cellStyle name="st0 -SideText" xfId="136"/>
    <cellStyle name="st1 -SideText" xfId="137"/>
    <cellStyle name="st2 -SideText" xfId="138"/>
    <cellStyle name="st3 -SideText" xfId="139"/>
    <cellStyle name="st4 -SideText" xfId="140"/>
    <cellStyle name="tdMMYc-TopDateC" xfId="141"/>
    <cellStyle name="Title" xfId="142"/>
    <cellStyle name="Total" xfId="143"/>
    <cellStyle name="ttn -TopTextNoWrap" xfId="144"/>
    <cellStyle name="ttnl -TopTextNoWrapL" xfId="145"/>
    <cellStyle name="ttw -TopTextWrap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2647950</xdr:colOff>
      <xdr:row>29</xdr:row>
      <xdr:rowOff>133350</xdr:rowOff>
    </xdr:from>
    <xdr:to>
      <xdr:col>2</xdr:col>
      <xdr:colOff>3629025</xdr:colOff>
      <xdr:row>32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952875" y="4400550"/>
          <a:ext cx="981075" cy="400050"/>
        </a:xfrm>
        <a:prstGeom prst="rect">
          <a:avLst/>
        </a:prstGeom>
        <a:solidFill>
          <a:srgbClr val="009A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sSales</a:t>
          </a:r>
        </a:p>
      </xdr:txBody>
    </xdr:sp>
    <xdr:clientData/>
  </xdr:twoCellAnchor>
  <xdr:twoCellAnchor>
    <xdr:from>
      <xdr:col>2</xdr:col>
      <xdr:colOff>1352550</xdr:colOff>
      <xdr:row>29</xdr:row>
      <xdr:rowOff>133350</xdr:rowOff>
    </xdr:from>
    <xdr:to>
      <xdr:col>2</xdr:col>
      <xdr:colOff>2333625</xdr:colOff>
      <xdr:row>32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57475" y="4400550"/>
          <a:ext cx="981075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iCostAlloc</a:t>
          </a:r>
        </a:p>
      </xdr:txBody>
    </xdr:sp>
    <xdr:clientData/>
  </xdr:twoCellAnchor>
  <xdr:twoCellAnchor>
    <xdr:from>
      <xdr:col>2</xdr:col>
      <xdr:colOff>66675</xdr:colOff>
      <xdr:row>25</xdr:row>
      <xdr:rowOff>133350</xdr:rowOff>
    </xdr:from>
    <xdr:to>
      <xdr:col>2</xdr:col>
      <xdr:colOff>1047750</xdr:colOff>
      <xdr:row>28</xdr:row>
      <xdr:rowOff>104775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371600" y="3829050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rSummary</a:t>
          </a:r>
        </a:p>
      </xdr:txBody>
    </xdr:sp>
    <xdr:clientData/>
  </xdr:twoCellAnchor>
  <xdr:twoCellAnchor>
    <xdr:from>
      <xdr:col>2</xdr:col>
      <xdr:colOff>66675</xdr:colOff>
      <xdr:row>29</xdr:row>
      <xdr:rowOff>133350</xdr:rowOff>
    </xdr:from>
    <xdr:to>
      <xdr:col>2</xdr:col>
      <xdr:colOff>1047750</xdr:colOff>
      <xdr:row>32</xdr:row>
      <xdr:rowOff>104775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371600" y="4400550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rProdProfit</a:t>
          </a:r>
        </a:p>
      </xdr:txBody>
    </xdr:sp>
    <xdr:clientData/>
  </xdr:twoCellAnchor>
  <xdr:twoCellAnchor>
    <xdr:from>
      <xdr:col>2</xdr:col>
      <xdr:colOff>2333625</xdr:colOff>
      <xdr:row>31</xdr:row>
      <xdr:rowOff>47625</xdr:rowOff>
    </xdr:from>
    <xdr:to>
      <xdr:col>2</xdr:col>
      <xdr:colOff>2647950</xdr:colOff>
      <xdr:row>31</xdr:row>
      <xdr:rowOff>47625</xdr:rowOff>
    </xdr:to>
    <xdr:sp>
      <xdr:nvSpPr>
        <xdr:cNvPr id="5" name="AutoShape 8"/>
        <xdr:cNvSpPr>
          <a:spLocks/>
        </xdr:cNvSpPr>
      </xdr:nvSpPr>
      <xdr:spPr>
        <a:xfrm flipH="1">
          <a:off x="3638550" y="460057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27</xdr:row>
      <xdr:rowOff>47625</xdr:rowOff>
    </xdr:from>
    <xdr:to>
      <xdr:col>2</xdr:col>
      <xdr:colOff>1352550</xdr:colOff>
      <xdr:row>31</xdr:row>
      <xdr:rowOff>47625</xdr:rowOff>
    </xdr:to>
    <xdr:sp>
      <xdr:nvSpPr>
        <xdr:cNvPr id="6" name="AutoShape 10"/>
        <xdr:cNvSpPr>
          <a:spLocks/>
        </xdr:cNvSpPr>
      </xdr:nvSpPr>
      <xdr:spPr>
        <a:xfrm flipH="1" flipV="1">
          <a:off x="2352675" y="4029075"/>
          <a:ext cx="304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31</xdr:row>
      <xdr:rowOff>47625</xdr:rowOff>
    </xdr:from>
    <xdr:to>
      <xdr:col>2</xdr:col>
      <xdr:colOff>1352550</xdr:colOff>
      <xdr:row>31</xdr:row>
      <xdr:rowOff>47625</xdr:rowOff>
    </xdr:to>
    <xdr:sp>
      <xdr:nvSpPr>
        <xdr:cNvPr id="7" name="AutoShape 13"/>
        <xdr:cNvSpPr>
          <a:spLocks/>
        </xdr:cNvSpPr>
      </xdr:nvSpPr>
      <xdr:spPr>
        <a:xfrm flipH="1">
          <a:off x="2352675" y="460057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2647950</xdr:colOff>
      <xdr:row>25</xdr:row>
      <xdr:rowOff>133350</xdr:rowOff>
    </xdr:from>
    <xdr:to>
      <xdr:col>2</xdr:col>
      <xdr:colOff>3629025</xdr:colOff>
      <xdr:row>28</xdr:row>
      <xdr:rowOff>104775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3952875" y="3829050"/>
          <a:ext cx="981075" cy="400050"/>
        </a:xfrm>
        <a:prstGeom prst="rect">
          <a:avLst/>
        </a:prstGeom>
        <a:solidFill>
          <a:srgbClr val="D8D8D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dTotOhds</a:t>
          </a:r>
        </a:p>
      </xdr:txBody>
    </xdr:sp>
    <xdr:clientData/>
  </xdr:twoCellAnchor>
  <xdr:twoCellAnchor>
    <xdr:from>
      <xdr:col>2</xdr:col>
      <xdr:colOff>3943350</xdr:colOff>
      <xdr:row>29</xdr:row>
      <xdr:rowOff>133350</xdr:rowOff>
    </xdr:from>
    <xdr:to>
      <xdr:col>2</xdr:col>
      <xdr:colOff>4924425</xdr:colOff>
      <xdr:row>32</xdr:row>
      <xdr:rowOff>104775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5248275" y="4400550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SalesYYYY.csv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SPS system</a:t>
          </a:r>
        </a:p>
      </xdr:txBody>
    </xdr:sp>
    <xdr:clientData/>
  </xdr:twoCellAnchor>
  <xdr:twoCellAnchor>
    <xdr:from>
      <xdr:col>2</xdr:col>
      <xdr:colOff>3629025</xdr:colOff>
      <xdr:row>31</xdr:row>
      <xdr:rowOff>47625</xdr:rowOff>
    </xdr:from>
    <xdr:to>
      <xdr:col>2</xdr:col>
      <xdr:colOff>3943350</xdr:colOff>
      <xdr:row>31</xdr:row>
      <xdr:rowOff>47625</xdr:rowOff>
    </xdr:to>
    <xdr:sp>
      <xdr:nvSpPr>
        <xdr:cNvPr id="10" name="AutoShape 8"/>
        <xdr:cNvSpPr>
          <a:spLocks/>
        </xdr:cNvSpPr>
      </xdr:nvSpPr>
      <xdr:spPr>
        <a:xfrm flipH="1">
          <a:off x="4933950" y="460057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1847850</xdr:colOff>
      <xdr:row>27</xdr:row>
      <xdr:rowOff>47625</xdr:rowOff>
    </xdr:from>
    <xdr:to>
      <xdr:col>2</xdr:col>
      <xdr:colOff>2647950</xdr:colOff>
      <xdr:row>29</xdr:row>
      <xdr:rowOff>133350</xdr:rowOff>
    </xdr:to>
    <xdr:sp>
      <xdr:nvSpPr>
        <xdr:cNvPr id="11" name="AutoShape 8"/>
        <xdr:cNvSpPr>
          <a:spLocks/>
        </xdr:cNvSpPr>
      </xdr:nvSpPr>
      <xdr:spPr>
        <a:xfrm flipH="1">
          <a:off x="3152775" y="4029075"/>
          <a:ext cx="8001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4048125</xdr:colOff>
      <xdr:row>24</xdr:row>
      <xdr:rowOff>133350</xdr:rowOff>
    </xdr:from>
    <xdr:to>
      <xdr:col>2</xdr:col>
      <xdr:colOff>5029200</xdr:colOff>
      <xdr:row>27</xdr:row>
      <xdr:rowOff>104775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5353050" y="3686175"/>
          <a:ext cx="9810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mMgmt</a:t>
          </a:r>
        </a:p>
      </xdr:txBody>
    </xdr:sp>
    <xdr:clientData/>
  </xdr:twoCellAnchor>
  <xdr:twoCellAnchor>
    <xdr:from>
      <xdr:col>2</xdr:col>
      <xdr:colOff>3952875</xdr:colOff>
      <xdr:row>26</xdr:row>
      <xdr:rowOff>19050</xdr:rowOff>
    </xdr:from>
    <xdr:to>
      <xdr:col>2</xdr:col>
      <xdr:colOff>4933950</xdr:colOff>
      <xdr:row>28</xdr:row>
      <xdr:rowOff>133350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5257800" y="3857625"/>
          <a:ext cx="9810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mAdmin</a:t>
          </a:r>
        </a:p>
      </xdr:txBody>
    </xdr:sp>
    <xdr:clientData/>
  </xdr:twoCellAnchor>
  <xdr:twoCellAnchor>
    <xdr:from>
      <xdr:col>2</xdr:col>
      <xdr:colOff>3638550</xdr:colOff>
      <xdr:row>27</xdr:row>
      <xdr:rowOff>57150</xdr:rowOff>
    </xdr:from>
    <xdr:to>
      <xdr:col>2</xdr:col>
      <xdr:colOff>3952875</xdr:colOff>
      <xdr:row>27</xdr:row>
      <xdr:rowOff>57150</xdr:rowOff>
    </xdr:to>
    <xdr:sp>
      <xdr:nvSpPr>
        <xdr:cNvPr id="14" name="AutoShape 8"/>
        <xdr:cNvSpPr>
          <a:spLocks/>
        </xdr:cNvSpPr>
      </xdr:nvSpPr>
      <xdr:spPr>
        <a:xfrm flipH="1">
          <a:off x="4943475" y="40386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104775</xdr:rowOff>
    </xdr:from>
    <xdr:to>
      <xdr:col>2</xdr:col>
      <xdr:colOff>1047750</xdr:colOff>
      <xdr:row>36</xdr:row>
      <xdr:rowOff>76200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371600" y="4943475"/>
          <a:ext cx="981075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oMAS</a:t>
          </a:r>
        </a:p>
      </xdr:txBody>
    </xdr:sp>
    <xdr:clientData/>
  </xdr:twoCellAnchor>
  <xdr:twoCellAnchor>
    <xdr:from>
      <xdr:col>2</xdr:col>
      <xdr:colOff>1047750</xdr:colOff>
      <xdr:row>31</xdr:row>
      <xdr:rowOff>47625</xdr:rowOff>
    </xdr:from>
    <xdr:to>
      <xdr:col>2</xdr:col>
      <xdr:colOff>1352550</xdr:colOff>
      <xdr:row>35</xdr:row>
      <xdr:rowOff>19050</xdr:rowOff>
    </xdr:to>
    <xdr:sp>
      <xdr:nvSpPr>
        <xdr:cNvPr id="16" name="AutoShape 13"/>
        <xdr:cNvSpPr>
          <a:spLocks/>
        </xdr:cNvSpPr>
      </xdr:nvSpPr>
      <xdr:spPr>
        <a:xfrm flipH="1">
          <a:off x="2352675" y="4600575"/>
          <a:ext cx="30480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104775</xdr:rowOff>
    </xdr:from>
    <xdr:to>
      <xdr:col>1</xdr:col>
      <xdr:colOff>676275</xdr:colOff>
      <xdr:row>36</xdr:row>
      <xdr:rowOff>76200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95250" y="4943475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PPyyyy.CSV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MAS system</a:t>
          </a:r>
        </a:p>
      </xdr:txBody>
    </xdr:sp>
    <xdr:clientData/>
  </xdr:twoCellAnchor>
  <xdr:twoCellAnchor>
    <xdr:from>
      <xdr:col>1</xdr:col>
      <xdr:colOff>676275</xdr:colOff>
      <xdr:row>35</xdr:row>
      <xdr:rowOff>19050</xdr:rowOff>
    </xdr:from>
    <xdr:to>
      <xdr:col>2</xdr:col>
      <xdr:colOff>66675</xdr:colOff>
      <xdr:row>35</xdr:row>
      <xdr:rowOff>19050</xdr:rowOff>
    </xdr:to>
    <xdr:sp>
      <xdr:nvSpPr>
        <xdr:cNvPr id="18" name="AutoShape 13"/>
        <xdr:cNvSpPr>
          <a:spLocks/>
        </xdr:cNvSpPr>
      </xdr:nvSpPr>
      <xdr:spPr>
        <a:xfrm flipH="1">
          <a:off x="1076325" y="51435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14</xdr:row>
      <xdr:rowOff>57150</xdr:rowOff>
    </xdr:from>
    <xdr:to>
      <xdr:col>13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2209800"/>
          <a:ext cx="1428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=SUM(mAdmin:mMgmt!M18)</a:t>
          </a:r>
        </a:p>
      </xdr:txBody>
    </xdr:sp>
    <xdr:clientData/>
  </xdr:twoCellAnchor>
  <xdr:twoCellAnchor>
    <xdr:from>
      <xdr:col>12</xdr:col>
      <xdr:colOff>123825</xdr:colOff>
      <xdr:row>16</xdr:row>
      <xdr:rowOff>28575</xdr:rowOff>
    </xdr:from>
    <xdr:to>
      <xdr:col>12</xdr:col>
      <xdr:colOff>238125</xdr:colOff>
      <xdr:row>17</xdr:row>
      <xdr:rowOff>47625</xdr:rowOff>
    </xdr:to>
    <xdr:sp>
      <xdr:nvSpPr>
        <xdr:cNvPr id="2" name="Line 2"/>
        <xdr:cNvSpPr>
          <a:spLocks/>
        </xdr:cNvSpPr>
      </xdr:nvSpPr>
      <xdr:spPr>
        <a:xfrm>
          <a:off x="7753350" y="24003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74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0" sqref="A40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18" t="s">
        <v>21</v>
      </c>
      <c r="B1" s="7"/>
      <c r="C1" s="7"/>
      <c r="D1" s="8"/>
    </row>
    <row r="2" spans="1:4" ht="15.75">
      <c r="A2" s="19" t="str">
        <f>kAppName</f>
        <v>Product Profitability</v>
      </c>
      <c r="B2" s="9"/>
      <c r="C2" s="9"/>
      <c r="D2" s="10"/>
    </row>
    <row r="3" spans="1:4" ht="11.25">
      <c r="A3" s="17" t="str">
        <f>"Version "&amp;kVersion</f>
        <v>Version 25-Apr-2008A</v>
      </c>
      <c r="B3" s="9"/>
      <c r="C3" s="9"/>
      <c r="D3" s="10"/>
    </row>
    <row r="4" spans="1:4" ht="12" thickBot="1">
      <c r="A4" s="11"/>
      <c r="B4" s="12"/>
      <c r="C4" s="12"/>
      <c r="D4" s="13"/>
    </row>
    <row r="5" ht="11.25">
      <c r="A5" s="20" t="s">
        <v>30</v>
      </c>
    </row>
    <row r="6" spans="1:3" ht="11.25">
      <c r="A6" s="21" t="s">
        <v>31</v>
      </c>
      <c r="C6" s="22" t="s">
        <v>97</v>
      </c>
    </row>
    <row r="7" spans="1:3" ht="11.25">
      <c r="A7" s="21" t="s">
        <v>19</v>
      </c>
      <c r="C7" s="22" t="s">
        <v>41</v>
      </c>
    </row>
    <row r="8" spans="1:3" ht="11.25">
      <c r="A8" s="21" t="s">
        <v>5</v>
      </c>
      <c r="C8" s="4" t="str">
        <f ca="1">SUBSTITUTE(LEFT(CELL("filename",C8),FIND("]",CELL("filename",C8))-1),"[","")</f>
        <v>C:\d\Genie\Training\Essentials\Handout\AASalesComplete.xls</v>
      </c>
    </row>
    <row r="9" spans="1:3" ht="11.25">
      <c r="A9" s="21" t="s">
        <v>6</v>
      </c>
      <c r="C9" t="str">
        <f>kVersion</f>
        <v>25-Apr-2008A</v>
      </c>
    </row>
    <row r="10" spans="1:3" ht="11.25">
      <c r="A10" s="21" t="s">
        <v>20</v>
      </c>
      <c r="C10" t="s">
        <v>43</v>
      </c>
    </row>
    <row r="11" spans="1:3" ht="11.25">
      <c r="A11" s="21" t="s">
        <v>22</v>
      </c>
      <c r="C11" s="22"/>
    </row>
    <row r="12" spans="1:3" ht="11.25">
      <c r="A12" s="21" t="s">
        <v>9</v>
      </c>
      <c r="C12" s="31" t="s">
        <v>147</v>
      </c>
    </row>
    <row r="13" ht="11.25">
      <c r="A13" s="21" t="s">
        <v>28</v>
      </c>
    </row>
    <row r="14" spans="1:3" ht="11.25">
      <c r="A14" s="23" t="s">
        <v>24</v>
      </c>
      <c r="C14" s="22" t="s">
        <v>99</v>
      </c>
    </row>
    <row r="15" spans="1:3" ht="11.25">
      <c r="A15" s="23" t="s">
        <v>25</v>
      </c>
      <c r="C15" s="22" t="s">
        <v>98</v>
      </c>
    </row>
    <row r="16" spans="1:3" ht="11.25">
      <c r="A16" s="23" t="s">
        <v>29</v>
      </c>
      <c r="C16" s="22" t="s">
        <v>100</v>
      </c>
    </row>
    <row r="17" spans="1:3" ht="11.25">
      <c r="A17" s="23" t="s">
        <v>26</v>
      </c>
      <c r="C17" s="22" t="s">
        <v>101</v>
      </c>
    </row>
    <row r="18" spans="1:3" ht="11.25">
      <c r="A18" s="23" t="s">
        <v>27</v>
      </c>
      <c r="C18" s="31" t="s">
        <v>149</v>
      </c>
    </row>
    <row r="19" ht="11.25">
      <c r="A19" s="24" t="s">
        <v>10</v>
      </c>
    </row>
    <row r="20" spans="1:3" ht="11.25">
      <c r="A20" s="25" t="s">
        <v>36</v>
      </c>
      <c r="C20" s="22" t="s">
        <v>107</v>
      </c>
    </row>
    <row r="21" spans="1:3" ht="11.25">
      <c r="A21" s="25" t="s">
        <v>37</v>
      </c>
      <c r="C21" s="22" t="s">
        <v>110</v>
      </c>
    </row>
    <row r="22" spans="1:3" ht="11.25">
      <c r="A22" s="25" t="s">
        <v>32</v>
      </c>
      <c r="C22" s="22" t="s">
        <v>34</v>
      </c>
    </row>
    <row r="23" spans="1:3" ht="11.25">
      <c r="A23" s="25" t="s">
        <v>38</v>
      </c>
      <c r="C23" s="22" t="s">
        <v>35</v>
      </c>
    </row>
    <row r="24" spans="1:3" ht="11.25">
      <c r="A24" s="25" t="s">
        <v>23</v>
      </c>
      <c r="C24" s="22" t="s">
        <v>33</v>
      </c>
    </row>
    <row r="25" spans="1:3" ht="11.25">
      <c r="A25" s="25" t="s">
        <v>39</v>
      </c>
      <c r="C25" s="22"/>
    </row>
    <row r="26" spans="1:3" ht="11.25">
      <c r="A26" s="25"/>
      <c r="C26" s="22"/>
    </row>
    <row r="27" spans="1:3" ht="11.25">
      <c r="A27" s="24"/>
      <c r="C27" s="26"/>
    </row>
    <row r="28" spans="1:3" ht="11.25">
      <c r="A28" s="24"/>
      <c r="C28" s="26"/>
    </row>
    <row r="29" ht="11.25">
      <c r="A29" s="4"/>
    </row>
    <row r="30" ht="11.25">
      <c r="C30" s="26"/>
    </row>
    <row r="31" ht="11.25">
      <c r="C31" s="26"/>
    </row>
    <row r="32" ht="11.25">
      <c r="C32" s="26"/>
    </row>
    <row r="33" ht="11.25">
      <c r="C33" s="26"/>
    </row>
    <row r="34" ht="11.25">
      <c r="C34" s="26"/>
    </row>
    <row r="35" ht="11.25">
      <c r="C35" s="26"/>
    </row>
    <row r="36" ht="11.25">
      <c r="C36" s="26"/>
    </row>
    <row r="37" ht="11.25">
      <c r="C37" s="26"/>
    </row>
    <row r="38" spans="1:2" ht="11.25">
      <c r="A38" s="27" t="s">
        <v>3</v>
      </c>
      <c r="B38" s="4"/>
    </row>
    <row r="39" spans="1:3" ht="11.25">
      <c r="A39" s="28" t="s">
        <v>111</v>
      </c>
      <c r="C39" s="4"/>
    </row>
    <row r="40" spans="1:3" ht="11.25">
      <c r="A40" s="62" t="s">
        <v>113</v>
      </c>
      <c r="B40" s="4"/>
      <c r="C40" s="4"/>
    </row>
    <row r="41" spans="1:3" ht="11.25">
      <c r="A41" s="25" t="s">
        <v>7</v>
      </c>
      <c r="B41" s="14" t="s">
        <v>114</v>
      </c>
      <c r="C41" s="4"/>
    </row>
    <row r="42" spans="1:3" ht="11.25">
      <c r="A42" s="25" t="s">
        <v>8</v>
      </c>
      <c r="B42" s="14" t="s">
        <v>112</v>
      </c>
      <c r="C42" s="4"/>
    </row>
    <row r="43" spans="1:3" ht="11.25">
      <c r="A43" s="25" t="s">
        <v>14</v>
      </c>
      <c r="B43" s="14" t="s">
        <v>115</v>
      </c>
      <c r="C43" s="4"/>
    </row>
    <row r="44" ht="11.25">
      <c r="A44" s="62" t="s">
        <v>141</v>
      </c>
    </row>
    <row r="45" spans="1:2" ht="11.25">
      <c r="A45" s="25" t="s">
        <v>7</v>
      </c>
      <c r="B45" t="s">
        <v>117</v>
      </c>
    </row>
    <row r="46" ht="11.25">
      <c r="A46" s="62" t="s">
        <v>122</v>
      </c>
    </row>
    <row r="47" spans="1:2" ht="11.25">
      <c r="A47" s="25" t="s">
        <v>7</v>
      </c>
      <c r="B47" t="s">
        <v>123</v>
      </c>
    </row>
    <row r="48" spans="1:2" ht="11.25">
      <c r="A48" s="25"/>
      <c r="B48" t="s">
        <v>124</v>
      </c>
    </row>
    <row r="49" spans="1:2" ht="11.25">
      <c r="A49" s="25" t="s">
        <v>8</v>
      </c>
      <c r="B49" t="s">
        <v>126</v>
      </c>
    </row>
    <row r="50" ht="11.25">
      <c r="A50" s="62" t="s">
        <v>128</v>
      </c>
    </row>
    <row r="51" spans="1:2" ht="11.25">
      <c r="A51" s="25" t="s">
        <v>7</v>
      </c>
      <c r="B51" t="s">
        <v>136</v>
      </c>
    </row>
    <row r="52" spans="1:2" ht="11.25">
      <c r="A52" s="25" t="s">
        <v>8</v>
      </c>
      <c r="B52" t="s">
        <v>129</v>
      </c>
    </row>
    <row r="53" spans="1:2" ht="11.25">
      <c r="A53" s="25" t="s">
        <v>14</v>
      </c>
      <c r="B53" t="s">
        <v>137</v>
      </c>
    </row>
    <row r="54" spans="1:2" ht="11.25">
      <c r="A54" s="25" t="s">
        <v>15</v>
      </c>
      <c r="B54" t="s">
        <v>130</v>
      </c>
    </row>
    <row r="55" spans="1:2" ht="11.25">
      <c r="A55" s="25" t="s">
        <v>16</v>
      </c>
      <c r="B55" t="s">
        <v>131</v>
      </c>
    </row>
    <row r="56" spans="1:2" ht="11.25">
      <c r="A56" s="25" t="s">
        <v>17</v>
      </c>
      <c r="B56" t="s">
        <v>138</v>
      </c>
    </row>
    <row r="57" spans="1:2" ht="11.25">
      <c r="A57" s="25" t="s">
        <v>18</v>
      </c>
      <c r="B57" t="s">
        <v>139</v>
      </c>
    </row>
    <row r="58" spans="1:2" ht="11.25">
      <c r="A58" s="25" t="s">
        <v>133</v>
      </c>
      <c r="B58" t="s">
        <v>132</v>
      </c>
    </row>
    <row r="59" spans="1:2" ht="11.25">
      <c r="A59" s="25" t="s">
        <v>134</v>
      </c>
      <c r="B59" t="s">
        <v>140</v>
      </c>
    </row>
    <row r="60" spans="1:2" ht="11.25">
      <c r="A60" s="25"/>
      <c r="B60" t="s">
        <v>135</v>
      </c>
    </row>
    <row r="61" ht="11.25">
      <c r="A61" s="28" t="s">
        <v>121</v>
      </c>
    </row>
    <row r="62" ht="11.25">
      <c r="A62" s="62" t="s">
        <v>116</v>
      </c>
    </row>
    <row r="63" spans="1:2" ht="11.25">
      <c r="A63" s="25" t="s">
        <v>7</v>
      </c>
      <c r="B63" t="s">
        <v>125</v>
      </c>
    </row>
    <row r="64" spans="1:2" ht="11.25">
      <c r="A64" s="25"/>
      <c r="B64" t="s">
        <v>124</v>
      </c>
    </row>
    <row r="65" spans="1:2" ht="11.25">
      <c r="A65" s="25" t="s">
        <v>8</v>
      </c>
      <c r="B65" t="s">
        <v>118</v>
      </c>
    </row>
    <row r="66" spans="1:2" ht="11.25">
      <c r="A66" s="25"/>
      <c r="B66" t="s">
        <v>120</v>
      </c>
    </row>
    <row r="67" spans="1:2" ht="11.25">
      <c r="A67" s="25" t="s">
        <v>14</v>
      </c>
      <c r="B67" t="s">
        <v>119</v>
      </c>
    </row>
    <row r="68" ht="11.25">
      <c r="A68" s="62" t="s">
        <v>127</v>
      </c>
    </row>
    <row r="69" spans="1:2" ht="11.25">
      <c r="A69" s="25" t="s">
        <v>7</v>
      </c>
      <c r="B69" t="s">
        <v>142</v>
      </c>
    </row>
    <row r="70" spans="1:2" ht="11.25">
      <c r="A70" s="25" t="s">
        <v>8</v>
      </c>
      <c r="B70" t="s">
        <v>143</v>
      </c>
    </row>
    <row r="71" spans="1:2" ht="11.25">
      <c r="A71" s="25"/>
      <c r="B71" t="s">
        <v>145</v>
      </c>
    </row>
    <row r="72" spans="1:2" ht="11.25">
      <c r="A72" s="66" t="s">
        <v>14</v>
      </c>
      <c r="B72" t="s">
        <v>144</v>
      </c>
    </row>
    <row r="73" spans="1:2" ht="11.25">
      <c r="A73" s="66" t="s">
        <v>15</v>
      </c>
      <c r="B73" t="s">
        <v>146</v>
      </c>
    </row>
    <row r="74" ht="11.25">
      <c r="B74" t="s">
        <v>148</v>
      </c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4"/>
  <headerFooter alignWithMargins="0">
    <oddFooter>&amp;L&amp;8&amp;D &amp;T&amp;C&amp;8&amp;Z&amp;F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2:Z28"/>
  <sheetViews>
    <sheetView showOutlineSymbols="0"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P22" sqref="P22"/>
    </sheetView>
  </sheetViews>
  <sheetFormatPr defaultColWidth="9.33203125" defaultRowHeight="11.25" outlineLevelRow="2"/>
  <cols>
    <col min="11" max="11" width="11.16015625" style="0" customWidth="1"/>
    <col min="12" max="12" width="4.66015625" style="0" bestFit="1" customWidth="1"/>
    <col min="13" max="13" width="7" style="0" customWidth="1"/>
    <col min="14" max="25" width="10.33203125" style="0" customWidth="1"/>
    <col min="26" max="26" width="1.83203125" style="0" customWidth="1"/>
  </cols>
  <sheetData>
    <row r="2" ht="11.25">
      <c r="A2" t="s">
        <v>44</v>
      </c>
    </row>
    <row r="9" ht="11.25">
      <c r="Z9" t="e">
        <f>VLOOKUP(K9,dtiMap,3,FALSE)</f>
        <v>#NAME?</v>
      </c>
    </row>
    <row r="10" ht="12" thickBot="1"/>
    <row r="11" spans="11:26" ht="15.75">
      <c r="K11" s="18" t="s">
        <v>95</v>
      </c>
      <c r="L11" s="7"/>
      <c r="M11" s="7"/>
      <c r="N11" s="7"/>
      <c r="O11" s="7" t="str">
        <f>kOrgName</f>
        <v>WestTec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/>
      <c r="N12" s="9"/>
      <c r="O12" s="9" t="str">
        <f>kNow</f>
        <v>Thu 18-Oct-2012 8:54 a.m. 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 t="s">
        <v>169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33" t="s">
        <v>81</v>
      </c>
      <c r="L14" s="32" t="s">
        <v>83</v>
      </c>
      <c r="M14" s="32" t="s">
        <v>82</v>
      </c>
      <c r="N14" s="52" t="s">
        <v>151</v>
      </c>
      <c r="O14" s="52" t="s">
        <v>152</v>
      </c>
      <c r="P14" s="52" t="s">
        <v>153</v>
      </c>
      <c r="Q14" s="52" t="s">
        <v>154</v>
      </c>
      <c r="R14" s="52" t="s">
        <v>155</v>
      </c>
      <c r="S14" s="52" t="s">
        <v>156</v>
      </c>
      <c r="T14" s="52" t="s">
        <v>157</v>
      </c>
      <c r="U14" s="52" t="s">
        <v>158</v>
      </c>
      <c r="V14" s="52" t="s">
        <v>159</v>
      </c>
      <c r="W14" s="52" t="s">
        <v>160</v>
      </c>
      <c r="X14" s="52" t="s">
        <v>161</v>
      </c>
      <c r="Y14" s="52" t="s">
        <v>162</v>
      </c>
      <c r="Z14" s="68"/>
    </row>
    <row r="15" spans="11:25" ht="11.25">
      <c r="K15" s="59">
        <v>1001</v>
      </c>
      <c r="L15" s="59" t="s">
        <v>84</v>
      </c>
      <c r="M15" s="59" t="s">
        <v>87</v>
      </c>
      <c r="N15" s="60">
        <v>1000</v>
      </c>
      <c r="O15" s="60">
        <v>1065</v>
      </c>
      <c r="P15" s="60">
        <v>1064</v>
      </c>
      <c r="Q15" s="60">
        <v>1044</v>
      </c>
      <c r="R15" s="60">
        <v>1021</v>
      </c>
      <c r="S15" s="60">
        <v>1048</v>
      </c>
      <c r="T15" s="60">
        <v>1093</v>
      </c>
      <c r="U15" s="60">
        <v>1091</v>
      </c>
      <c r="V15" s="60">
        <v>1061</v>
      </c>
      <c r="W15" s="57">
        <v>0</v>
      </c>
      <c r="X15" s="57">
        <v>0</v>
      </c>
      <c r="Y15" s="57">
        <v>0</v>
      </c>
    </row>
    <row r="16" spans="11:25" ht="11.25">
      <c r="K16">
        <v>1001</v>
      </c>
      <c r="L16" t="s">
        <v>85</v>
      </c>
      <c r="M16" t="s">
        <v>87</v>
      </c>
      <c r="N16" s="57">
        <v>3000</v>
      </c>
      <c r="O16" s="57">
        <v>3090</v>
      </c>
      <c r="P16" s="57">
        <v>3007</v>
      </c>
      <c r="Q16" s="57">
        <v>3030</v>
      </c>
      <c r="R16" s="57">
        <v>3038</v>
      </c>
      <c r="S16" s="57">
        <v>3050</v>
      </c>
      <c r="T16" s="57">
        <v>3026</v>
      </c>
      <c r="U16" s="57">
        <v>3011</v>
      </c>
      <c r="V16" s="57">
        <v>3093</v>
      </c>
      <c r="W16" s="57">
        <v>0</v>
      </c>
      <c r="X16" s="57">
        <v>0</v>
      </c>
      <c r="Y16" s="57">
        <v>0</v>
      </c>
    </row>
    <row r="17" spans="11:25" ht="11.25">
      <c r="K17">
        <v>1003</v>
      </c>
      <c r="L17" t="s">
        <v>86</v>
      </c>
      <c r="M17" t="s">
        <v>87</v>
      </c>
      <c r="N17" s="57">
        <v>2000</v>
      </c>
      <c r="O17" s="57">
        <v>2074</v>
      </c>
      <c r="P17" s="57">
        <v>2083</v>
      </c>
      <c r="Q17" s="57">
        <v>2007</v>
      </c>
      <c r="R17" s="57">
        <v>2042</v>
      </c>
      <c r="S17" s="57">
        <v>2065</v>
      </c>
      <c r="T17" s="57">
        <v>2079</v>
      </c>
      <c r="U17" s="57">
        <v>2003</v>
      </c>
      <c r="V17" s="57">
        <v>2078</v>
      </c>
      <c r="W17" s="57">
        <v>0</v>
      </c>
      <c r="X17" s="57">
        <v>0</v>
      </c>
      <c r="Y17" s="57">
        <v>0</v>
      </c>
    </row>
    <row r="18" spans="11:25" ht="11.25">
      <c r="K18">
        <v>1003</v>
      </c>
      <c r="L18" t="s">
        <v>85</v>
      </c>
      <c r="M18" t="s">
        <v>170</v>
      </c>
      <c r="N18" s="40">
        <v>1200</v>
      </c>
      <c r="O18" s="40">
        <v>987</v>
      </c>
      <c r="P18" s="40">
        <v>1212</v>
      </c>
      <c r="Q18" s="40">
        <v>1310</v>
      </c>
      <c r="R18" s="40">
        <v>1298</v>
      </c>
      <c r="S18" s="40">
        <v>1492</v>
      </c>
      <c r="T18" s="40">
        <v>1511</v>
      </c>
      <c r="U18" s="40">
        <v>1652</v>
      </c>
      <c r="V18" s="40">
        <v>1775</v>
      </c>
      <c r="W18" s="57">
        <v>0</v>
      </c>
      <c r="X18" s="57">
        <v>0</v>
      </c>
      <c r="Y18" s="57">
        <v>0</v>
      </c>
    </row>
    <row r="19" spans="11:25" ht="11.25">
      <c r="K19">
        <v>1001</v>
      </c>
      <c r="L19" t="s">
        <v>84</v>
      </c>
      <c r="M19" t="s">
        <v>88</v>
      </c>
      <c r="N19" s="57">
        <v>900</v>
      </c>
      <c r="O19" s="57">
        <v>976</v>
      </c>
      <c r="P19" s="57">
        <v>976</v>
      </c>
      <c r="Q19" s="57">
        <v>980</v>
      </c>
      <c r="R19" s="57">
        <v>1031</v>
      </c>
      <c r="S19" s="57">
        <v>1011</v>
      </c>
      <c r="T19" s="57">
        <v>1039</v>
      </c>
      <c r="U19" s="57">
        <v>964</v>
      </c>
      <c r="V19" s="57">
        <v>1014</v>
      </c>
      <c r="W19" s="57">
        <v>0</v>
      </c>
      <c r="X19" s="57">
        <v>0</v>
      </c>
      <c r="Y19" s="57">
        <v>0</v>
      </c>
    </row>
    <row r="20" spans="11:25" ht="11.25" outlineLevel="2">
      <c r="K20">
        <v>1001</v>
      </c>
      <c r="L20" t="s">
        <v>85</v>
      </c>
      <c r="M20" t="s">
        <v>88</v>
      </c>
      <c r="N20" s="57">
        <v>2900</v>
      </c>
      <c r="O20" s="57">
        <v>2945</v>
      </c>
      <c r="P20" s="57">
        <v>2931</v>
      </c>
      <c r="Q20" s="57">
        <v>2989</v>
      </c>
      <c r="R20" s="57">
        <v>2951</v>
      </c>
      <c r="S20" s="57">
        <v>2962</v>
      </c>
      <c r="T20" s="57">
        <v>2948</v>
      </c>
      <c r="U20" s="57">
        <v>2914</v>
      </c>
      <c r="V20" s="57">
        <v>2944</v>
      </c>
      <c r="W20" s="57">
        <v>0</v>
      </c>
      <c r="X20" s="57">
        <v>0</v>
      </c>
      <c r="Y20" s="57">
        <v>0</v>
      </c>
    </row>
    <row r="21" spans="11:25" ht="11.25">
      <c r="K21">
        <v>1001</v>
      </c>
      <c r="L21" t="s">
        <v>86</v>
      </c>
      <c r="M21" t="s">
        <v>88</v>
      </c>
      <c r="N21" s="57">
        <v>1900</v>
      </c>
      <c r="O21" s="57">
        <v>1911</v>
      </c>
      <c r="P21" s="57">
        <v>1977</v>
      </c>
      <c r="Q21" s="57">
        <v>1989</v>
      </c>
      <c r="R21" s="57">
        <v>1916</v>
      </c>
      <c r="S21" s="57">
        <v>1970</v>
      </c>
      <c r="T21" s="57">
        <v>1985</v>
      </c>
      <c r="U21" s="57">
        <v>1983</v>
      </c>
      <c r="V21" s="57">
        <v>1966</v>
      </c>
      <c r="W21" s="57">
        <v>0</v>
      </c>
      <c r="X21" s="57">
        <v>0</v>
      </c>
      <c r="Y21" s="57">
        <v>0</v>
      </c>
    </row>
    <row r="22" spans="11:25" ht="11.25">
      <c r="K22">
        <v>1002</v>
      </c>
      <c r="L22" t="s">
        <v>84</v>
      </c>
      <c r="M22" t="s">
        <v>87</v>
      </c>
      <c r="N22" s="57">
        <v>2000</v>
      </c>
      <c r="O22" s="57">
        <v>2013</v>
      </c>
      <c r="P22" s="57">
        <v>1967</v>
      </c>
      <c r="Q22" s="57">
        <v>1969</v>
      </c>
      <c r="R22" s="57">
        <v>2028</v>
      </c>
      <c r="S22" s="57">
        <v>1995</v>
      </c>
      <c r="T22" s="57">
        <v>2013</v>
      </c>
      <c r="U22" s="57">
        <v>2023</v>
      </c>
      <c r="V22" s="57">
        <v>2010</v>
      </c>
      <c r="W22" s="57">
        <v>0</v>
      </c>
      <c r="X22" s="57">
        <v>0</v>
      </c>
      <c r="Y22" s="57">
        <v>0</v>
      </c>
    </row>
    <row r="23" spans="11:25" ht="11.25">
      <c r="K23">
        <v>1004</v>
      </c>
      <c r="L23" t="s">
        <v>84</v>
      </c>
      <c r="M23" t="s">
        <v>171</v>
      </c>
      <c r="N23" s="79">
        <v>800</v>
      </c>
      <c r="O23" s="79">
        <v>783</v>
      </c>
      <c r="P23" s="79">
        <v>890</v>
      </c>
      <c r="Q23" s="79">
        <v>912</v>
      </c>
      <c r="R23" s="79">
        <v>956</v>
      </c>
      <c r="S23" s="79">
        <v>1002</v>
      </c>
      <c r="T23" s="79">
        <v>901</v>
      </c>
      <c r="U23" s="57">
        <v>1080</v>
      </c>
      <c r="V23" s="57">
        <v>1278</v>
      </c>
      <c r="W23" s="57">
        <v>0</v>
      </c>
      <c r="X23" s="57">
        <v>0</v>
      </c>
      <c r="Y23" s="57">
        <v>0</v>
      </c>
    </row>
    <row r="24" spans="11:25" ht="11.25">
      <c r="K24">
        <v>1002</v>
      </c>
      <c r="L24" t="s">
        <v>85</v>
      </c>
      <c r="M24" t="s">
        <v>87</v>
      </c>
      <c r="N24" s="57">
        <v>3100</v>
      </c>
      <c r="O24" s="57">
        <v>3931</v>
      </c>
      <c r="P24" s="57">
        <v>3996</v>
      </c>
      <c r="Q24" s="57">
        <v>3975</v>
      </c>
      <c r="R24" s="57">
        <v>3966</v>
      </c>
      <c r="S24" s="57">
        <v>3907</v>
      </c>
      <c r="T24" s="57">
        <v>3948</v>
      </c>
      <c r="U24" s="57">
        <v>3928</v>
      </c>
      <c r="V24" s="57">
        <v>3971</v>
      </c>
      <c r="W24" s="57">
        <v>0</v>
      </c>
      <c r="X24" s="57">
        <v>0</v>
      </c>
      <c r="Y24" s="57">
        <v>0</v>
      </c>
    </row>
    <row r="25" spans="11:25" ht="11.25">
      <c r="K25">
        <v>1002</v>
      </c>
      <c r="L25" t="s">
        <v>86</v>
      </c>
      <c r="M25" t="s">
        <v>87</v>
      </c>
      <c r="N25" s="57">
        <v>2800</v>
      </c>
      <c r="O25" s="57">
        <v>2933</v>
      </c>
      <c r="P25" s="57">
        <v>2923</v>
      </c>
      <c r="Q25" s="57">
        <v>2991</v>
      </c>
      <c r="R25" s="57">
        <v>2985</v>
      </c>
      <c r="S25" s="57">
        <v>2987</v>
      </c>
      <c r="T25" s="57">
        <v>2975</v>
      </c>
      <c r="U25" s="57">
        <v>2925</v>
      </c>
      <c r="V25" s="57">
        <v>2975</v>
      </c>
      <c r="W25" s="57">
        <v>0</v>
      </c>
      <c r="X25" s="57">
        <v>0</v>
      </c>
      <c r="Y25" s="57">
        <v>0</v>
      </c>
    </row>
    <row r="26" spans="11:25" ht="11.25">
      <c r="K26">
        <v>1002</v>
      </c>
      <c r="L26" t="s">
        <v>84</v>
      </c>
      <c r="M26" t="s">
        <v>88</v>
      </c>
      <c r="N26" s="57">
        <v>900</v>
      </c>
      <c r="O26" s="57">
        <v>1055</v>
      </c>
      <c r="P26" s="57">
        <v>1081</v>
      </c>
      <c r="Q26" s="57">
        <v>1088</v>
      </c>
      <c r="R26" s="57">
        <v>1093</v>
      </c>
      <c r="S26" s="57">
        <v>1052</v>
      </c>
      <c r="T26" s="57">
        <v>1019</v>
      </c>
      <c r="U26" s="57">
        <v>1012</v>
      </c>
      <c r="V26" s="57">
        <v>1077</v>
      </c>
      <c r="W26" s="57">
        <v>0</v>
      </c>
      <c r="X26" s="57">
        <v>0</v>
      </c>
      <c r="Y26" s="57">
        <v>0</v>
      </c>
    </row>
    <row r="27" spans="11:25" ht="11.25">
      <c r="K27">
        <v>1002</v>
      </c>
      <c r="L27" t="s">
        <v>85</v>
      </c>
      <c r="M27" t="s">
        <v>88</v>
      </c>
      <c r="N27" s="57">
        <v>3200</v>
      </c>
      <c r="O27" s="57">
        <v>3065</v>
      </c>
      <c r="P27" s="57">
        <v>3087</v>
      </c>
      <c r="Q27" s="57">
        <v>3055</v>
      </c>
      <c r="R27" s="57">
        <v>3031</v>
      </c>
      <c r="S27" s="57">
        <v>3048</v>
      </c>
      <c r="T27" s="57">
        <v>3069</v>
      </c>
      <c r="U27" s="57">
        <v>3011</v>
      </c>
      <c r="V27" s="57">
        <v>3032</v>
      </c>
      <c r="W27" s="57">
        <v>0</v>
      </c>
      <c r="X27" s="57">
        <v>0</v>
      </c>
      <c r="Y27" s="57">
        <v>0</v>
      </c>
    </row>
    <row r="28" spans="11:25" ht="11.25">
      <c r="K28">
        <v>1002</v>
      </c>
      <c r="L28" t="s">
        <v>86</v>
      </c>
      <c r="M28" t="s">
        <v>88</v>
      </c>
      <c r="N28" s="57">
        <v>2100</v>
      </c>
      <c r="O28" s="57">
        <v>2034</v>
      </c>
      <c r="P28" s="57">
        <v>2015</v>
      </c>
      <c r="Q28" s="57">
        <v>2086</v>
      </c>
      <c r="R28" s="57">
        <v>2012</v>
      </c>
      <c r="S28" s="57">
        <v>2040</v>
      </c>
      <c r="T28" s="57">
        <v>2015</v>
      </c>
      <c r="U28" s="57">
        <v>2004</v>
      </c>
      <c r="V28" s="57">
        <v>2004</v>
      </c>
      <c r="W28" s="57">
        <v>0</v>
      </c>
      <c r="X28" s="57">
        <v>0</v>
      </c>
      <c r="Y28" s="57">
        <v>0</v>
      </c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83203125" defaultRowHeight="11.25"/>
  <cols>
    <col min="1" max="1" width="22" style="0" customWidth="1"/>
    <col min="2" max="2" width="19.83203125" style="0" bestFit="1" customWidth="1"/>
  </cols>
  <sheetData>
    <row r="1" spans="1:2" ht="15.75">
      <c r="A1" s="18" t="s">
        <v>0</v>
      </c>
      <c r="B1" s="8"/>
    </row>
    <row r="2" spans="1:2" ht="15.75">
      <c r="A2" s="19" t="str">
        <f>kAppName</f>
        <v>Product Profitability</v>
      </c>
      <c r="B2" s="10"/>
    </row>
    <row r="3" spans="1:2" ht="11.25">
      <c r="A3" s="15"/>
      <c r="B3" s="10"/>
    </row>
    <row r="4" spans="1:2" ht="12" thickBot="1">
      <c r="A4" s="16"/>
      <c r="B4" s="13"/>
    </row>
    <row r="5" spans="1:2" ht="11.25">
      <c r="A5" s="3"/>
      <c r="B5" s="1"/>
    </row>
    <row r="6" spans="1:2" ht="11.25">
      <c r="A6" s="3" t="s">
        <v>4</v>
      </c>
      <c r="B6" s="1" t="s">
        <v>109</v>
      </c>
    </row>
    <row r="7" spans="1:2" ht="11.25">
      <c r="A7" s="6" t="s">
        <v>6</v>
      </c>
      <c r="B7" s="1" t="s">
        <v>42</v>
      </c>
    </row>
    <row r="8" spans="1:2" ht="11.25">
      <c r="A8" s="3" t="s">
        <v>2</v>
      </c>
      <c r="B8" s="1" t="s">
        <v>108</v>
      </c>
    </row>
    <row r="9" spans="1:2" ht="11.25">
      <c r="A9" s="3" t="s">
        <v>52</v>
      </c>
      <c r="B9" s="53">
        <v>2012</v>
      </c>
    </row>
    <row r="10" spans="1:2" ht="11.25">
      <c r="A10" s="6" t="s">
        <v>166</v>
      </c>
      <c r="B10" s="53">
        <v>9</v>
      </c>
    </row>
    <row r="11" spans="1:2" ht="11.25">
      <c r="A11" s="3" t="s">
        <v>164</v>
      </c>
      <c r="B11" s="53" t="str">
        <f>kYear&amp;" Month "&amp;kMonthNo&amp;"("&amp;TEXT(DATE(kYear,kMonthNo+6,1),"mmm")&amp;")"</f>
        <v>2012 Month 9(Mar)</v>
      </c>
    </row>
    <row r="12" spans="1:2" ht="11.25">
      <c r="A12" s="3" t="s">
        <v>11</v>
      </c>
      <c r="B12" s="29">
        <v>0.001</v>
      </c>
    </row>
    <row r="13" spans="1:2" ht="11.25">
      <c r="A13" s="3" t="s">
        <v>12</v>
      </c>
      <c r="B13" s="1" t="s">
        <v>13</v>
      </c>
    </row>
    <row r="14" spans="1:2" ht="11.25">
      <c r="A14" s="3" t="s">
        <v>1</v>
      </c>
      <c r="B14" s="1" t="str">
        <f ca="1">TEXT(NOW(),"ddd d-mmm-yyyy h:mm AM/PM ")</f>
        <v>Thu 18-Oct-2012 8:54 a.m. </v>
      </c>
    </row>
    <row r="15" spans="1:2" ht="11.25">
      <c r="A15" s="3" t="s">
        <v>40</v>
      </c>
      <c r="B15" s="1" t="b">
        <v>1</v>
      </c>
    </row>
    <row r="16" spans="1:2" ht="6" customHeight="1" thickBot="1">
      <c r="A16" s="5"/>
      <c r="B16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6"/>
  </sheetPr>
  <dimension ref="K11:O26"/>
  <sheetViews>
    <sheetView showOutlineSymbols="0"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K12" sqref="K12"/>
    </sheetView>
  </sheetViews>
  <sheetFormatPr defaultColWidth="9.33203125" defaultRowHeight="11.25" outlineLevelRow="2"/>
  <cols>
    <col min="1" max="1" width="50.83203125" style="0" customWidth="1"/>
    <col min="11" max="11" width="14" style="0" customWidth="1"/>
    <col min="12" max="12" width="11.33203125" style="0" customWidth="1"/>
    <col min="13" max="13" width="12.83203125" style="0" customWidth="1"/>
    <col min="14" max="14" width="10.83203125" style="0" customWidth="1"/>
    <col min="15" max="15" width="1.83203125" style="0" customWidth="1"/>
  </cols>
  <sheetData>
    <row r="10" ht="12" thickBot="1"/>
    <row r="11" spans="11:15" ht="15.75">
      <c r="K11" s="18" t="s">
        <v>105</v>
      </c>
      <c r="L11" s="7"/>
      <c r="M11" s="7" t="str">
        <f>kOrgName</f>
        <v>WestTec</v>
      </c>
      <c r="N11" s="7"/>
      <c r="O11" s="8"/>
    </row>
    <row r="12" spans="11:15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10"/>
    </row>
    <row r="13" spans="11:15" ht="12.75">
      <c r="K13" s="30"/>
      <c r="L13" s="9"/>
      <c r="M13" s="9"/>
      <c r="N13" s="9"/>
      <c r="O13" s="10"/>
    </row>
    <row r="14" spans="11:15" ht="12.75" customHeight="1" thickBot="1">
      <c r="K14" s="33" t="s">
        <v>81</v>
      </c>
      <c r="L14" s="32" t="s">
        <v>102</v>
      </c>
      <c r="M14" s="32" t="s">
        <v>103</v>
      </c>
      <c r="N14" s="32" t="s">
        <v>104</v>
      </c>
      <c r="O14" s="34"/>
    </row>
    <row r="15" spans="11:14" ht="11.25" outlineLevel="2">
      <c r="K15">
        <v>100100</v>
      </c>
      <c r="L15">
        <v>1</v>
      </c>
      <c r="M15" t="s">
        <v>54</v>
      </c>
      <c r="N15">
        <f>iCostAlloc!M23</f>
        <v>9700</v>
      </c>
    </row>
    <row r="16" spans="11:14" ht="11.25">
      <c r="K16">
        <v>100200</v>
      </c>
      <c r="L16">
        <v>1</v>
      </c>
      <c r="M16" t="s">
        <v>54</v>
      </c>
      <c r="N16">
        <f>iCostAlloc!M24</f>
        <v>14100</v>
      </c>
    </row>
    <row r="17" spans="11:14" ht="11.25">
      <c r="K17">
        <v>100100</v>
      </c>
      <c r="L17">
        <v>1</v>
      </c>
      <c r="M17" t="s">
        <v>106</v>
      </c>
      <c r="N17">
        <f>iCostAlloc!M28</f>
        <v>6499</v>
      </c>
    </row>
    <row r="18" spans="11:14" ht="11.25">
      <c r="K18">
        <v>100200</v>
      </c>
      <c r="L18">
        <v>1</v>
      </c>
      <c r="M18" t="s">
        <v>106</v>
      </c>
      <c r="N18">
        <f>iCostAlloc!M29</f>
        <v>10011</v>
      </c>
    </row>
    <row r="19" spans="11:14" ht="11.25">
      <c r="K19">
        <v>100100</v>
      </c>
      <c r="L19">
        <v>1</v>
      </c>
      <c r="M19" t="s">
        <v>57</v>
      </c>
      <c r="N19">
        <f>iCostAlloc!M35</f>
        <v>2824</v>
      </c>
    </row>
    <row r="20" spans="11:14" ht="11.25">
      <c r="K20">
        <v>100200</v>
      </c>
      <c r="L20">
        <v>1</v>
      </c>
      <c r="M20" t="s">
        <v>57</v>
      </c>
      <c r="N20">
        <f>iCostAlloc!M36</f>
        <v>4105</v>
      </c>
    </row>
    <row r="21" spans="11:14" ht="11.25">
      <c r="K21">
        <v>100100</v>
      </c>
      <c r="L21">
        <v>2</v>
      </c>
      <c r="M21" t="s">
        <v>54</v>
      </c>
      <c r="N21">
        <f>iCostAlloc!N23</f>
        <v>9987</v>
      </c>
    </row>
    <row r="22" spans="11:14" ht="11.25">
      <c r="K22">
        <v>100200</v>
      </c>
      <c r="L22">
        <v>2</v>
      </c>
      <c r="M22" t="s">
        <v>54</v>
      </c>
      <c r="N22">
        <f>iCostAlloc!N24</f>
        <v>15031</v>
      </c>
    </row>
    <row r="23" spans="11:14" ht="11.25">
      <c r="K23">
        <v>100100</v>
      </c>
      <c r="L23">
        <v>2</v>
      </c>
      <c r="M23" t="s">
        <v>106</v>
      </c>
      <c r="N23">
        <f>iCostAlloc!N28</f>
        <v>6691</v>
      </c>
    </row>
    <row r="24" spans="11:14" ht="11.25">
      <c r="K24">
        <v>100200</v>
      </c>
      <c r="L24">
        <v>2</v>
      </c>
      <c r="M24" t="s">
        <v>106</v>
      </c>
      <c r="N24">
        <f>iCostAlloc!N29</f>
        <v>10672</v>
      </c>
    </row>
    <row r="25" spans="11:14" ht="11.25">
      <c r="K25">
        <v>100100</v>
      </c>
      <c r="L25">
        <v>2</v>
      </c>
      <c r="M25" t="s">
        <v>57</v>
      </c>
      <c r="N25">
        <f>iCostAlloc!N35</f>
        <v>2773</v>
      </c>
    </row>
    <row r="26" spans="11:14" ht="11.25">
      <c r="K26">
        <v>100200</v>
      </c>
      <c r="L26">
        <v>2</v>
      </c>
      <c r="M26" t="s">
        <v>57</v>
      </c>
      <c r="N26">
        <f>iCostAlloc!N36</f>
        <v>4174</v>
      </c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K11:Z27"/>
  <sheetViews>
    <sheetView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18" t="s">
        <v>89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33"/>
      <c r="L14" s="32"/>
      <c r="M14" s="52" t="s">
        <v>151</v>
      </c>
      <c r="N14" s="52" t="s">
        <v>152</v>
      </c>
      <c r="O14" s="52" t="s">
        <v>153</v>
      </c>
      <c r="P14" s="52" t="s">
        <v>154</v>
      </c>
      <c r="Q14" s="52" t="s">
        <v>155</v>
      </c>
      <c r="R14" s="52" t="s">
        <v>156</v>
      </c>
      <c r="S14" s="52" t="s">
        <v>157</v>
      </c>
      <c r="T14" s="52" t="s">
        <v>158</v>
      </c>
      <c r="U14" s="52" t="s">
        <v>159</v>
      </c>
      <c r="V14" s="52" t="s">
        <v>160</v>
      </c>
      <c r="W14" s="52" t="s">
        <v>161</v>
      </c>
      <c r="X14" s="52" t="s">
        <v>162</v>
      </c>
      <c r="Y14" s="67" t="s">
        <v>163</v>
      </c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 t="s">
        <v>54</v>
      </c>
      <c r="M16" s="40">
        <f>iCostAlloc!M26</f>
        <v>23800</v>
      </c>
      <c r="N16" s="40">
        <f>iCostAlloc!N26</f>
        <v>25018</v>
      </c>
      <c r="O16" s="40">
        <f>iCostAlloc!O26</f>
        <v>25024</v>
      </c>
      <c r="P16" s="40">
        <f>iCostAlloc!P26</f>
        <v>25196</v>
      </c>
      <c r="Q16" s="40">
        <f>iCostAlloc!Q26</f>
        <v>25072</v>
      </c>
      <c r="R16" s="40">
        <f>iCostAlloc!R26</f>
        <v>25070</v>
      </c>
      <c r="S16" s="40">
        <f>iCostAlloc!S26</f>
        <v>25130</v>
      </c>
      <c r="T16" s="40">
        <f>iCostAlloc!T26</f>
        <v>24866</v>
      </c>
      <c r="U16" s="40">
        <f>iCostAlloc!U26</f>
        <v>25147</v>
      </c>
      <c r="V16" s="40">
        <f>iCostAlloc!V26</f>
        <v>0</v>
      </c>
      <c r="W16" s="40">
        <f>iCostAlloc!W26</f>
        <v>0</v>
      </c>
      <c r="X16" s="40">
        <f>iCostAlloc!X26</f>
        <v>0</v>
      </c>
      <c r="Y16" s="40">
        <f>iCostAlloc!Y26</f>
        <v>224323</v>
      </c>
      <c r="Z16" s="1"/>
    </row>
    <row r="17" spans="11:26" ht="11.25">
      <c r="K17" s="3"/>
      <c r="L17" s="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"/>
    </row>
    <row r="18" spans="11:26" ht="11.25">
      <c r="K18" s="3" t="s">
        <v>53</v>
      </c>
      <c r="L18" s="4"/>
      <c r="M18" s="40">
        <f>iCostAlloc!M31</f>
        <v>16510</v>
      </c>
      <c r="N18" s="40">
        <f>iCostAlloc!N31</f>
        <v>17363</v>
      </c>
      <c r="O18" s="40">
        <f>iCostAlloc!O31</f>
        <v>17369</v>
      </c>
      <c r="P18" s="40">
        <f>iCostAlloc!P31</f>
        <v>17287</v>
      </c>
      <c r="Q18" s="40">
        <f>iCostAlloc!Q31</f>
        <v>17204</v>
      </c>
      <c r="R18" s="40">
        <f>iCostAlloc!R31</f>
        <v>17198</v>
      </c>
      <c r="S18" s="40">
        <f>iCostAlloc!S31</f>
        <v>16936</v>
      </c>
      <c r="T18" s="40">
        <f>iCostAlloc!T31</f>
        <v>16759</v>
      </c>
      <c r="U18" s="40">
        <f>iCostAlloc!U31</f>
        <v>16949</v>
      </c>
      <c r="V18" s="40">
        <f>iCostAlloc!V31</f>
        <v>0</v>
      </c>
      <c r="W18" s="40">
        <f>iCostAlloc!W31</f>
        <v>0</v>
      </c>
      <c r="X18" s="40">
        <f>iCostAlloc!X31</f>
        <v>0</v>
      </c>
      <c r="Y18" s="40">
        <f>iCostAlloc!Y31</f>
        <v>153575</v>
      </c>
      <c r="Z18" s="1"/>
    </row>
    <row r="19" spans="11:26" ht="6.75" customHeight="1">
      <c r="K19" s="3"/>
      <c r="L19" s="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"/>
    </row>
    <row r="20" spans="11:26" ht="12" thickBot="1">
      <c r="K20" s="3" t="s">
        <v>55</v>
      </c>
      <c r="L20" s="4"/>
      <c r="M20" s="55">
        <f>M16-M18</f>
        <v>7290</v>
      </c>
      <c r="N20" s="55">
        <f aca="true" t="shared" si="0" ref="N20:X20">N16-N18</f>
        <v>7655</v>
      </c>
      <c r="O20" s="55">
        <f t="shared" si="0"/>
        <v>7655</v>
      </c>
      <c r="P20" s="55">
        <f t="shared" si="0"/>
        <v>7909</v>
      </c>
      <c r="Q20" s="55">
        <f t="shared" si="0"/>
        <v>7868</v>
      </c>
      <c r="R20" s="55">
        <f t="shared" si="0"/>
        <v>7872</v>
      </c>
      <c r="S20" s="55">
        <f t="shared" si="0"/>
        <v>8194</v>
      </c>
      <c r="T20" s="55">
        <f t="shared" si="0"/>
        <v>8107</v>
      </c>
      <c r="U20" s="55">
        <f t="shared" si="0"/>
        <v>8198</v>
      </c>
      <c r="V20" s="55">
        <f t="shared" si="0"/>
        <v>0</v>
      </c>
      <c r="W20" s="55">
        <f t="shared" si="0"/>
        <v>0</v>
      </c>
      <c r="X20" s="55">
        <f t="shared" si="0"/>
        <v>0</v>
      </c>
      <c r="Y20" s="55">
        <f>SUM(M20:X20)</f>
        <v>70748</v>
      </c>
      <c r="Z20" s="1"/>
    </row>
    <row r="21" spans="11:26" ht="12" thickTop="1">
      <c r="K21" s="3" t="s">
        <v>56</v>
      </c>
      <c r="L21" s="4"/>
      <c r="M21" s="50">
        <f aca="true" t="shared" si="1" ref="M21:Y21">IF(M16=0,"-",M20/M16)</f>
        <v>0.3063025210084034</v>
      </c>
      <c r="N21" s="50">
        <f t="shared" si="1"/>
        <v>0.3059796946198737</v>
      </c>
      <c r="O21" s="50">
        <f t="shared" si="1"/>
        <v>0.30590632992327366</v>
      </c>
      <c r="P21" s="50">
        <f t="shared" si="1"/>
        <v>0.31389903159231625</v>
      </c>
      <c r="Q21" s="50">
        <f t="shared" si="1"/>
        <v>0.3138162093171666</v>
      </c>
      <c r="R21" s="50">
        <f t="shared" si="1"/>
        <v>0.3140007977662545</v>
      </c>
      <c r="S21" s="50">
        <f t="shared" si="1"/>
        <v>0.3260644647831277</v>
      </c>
      <c r="T21" s="50">
        <f t="shared" si="1"/>
        <v>0.32602750743987774</v>
      </c>
      <c r="U21" s="50">
        <f t="shared" si="1"/>
        <v>0.32600310176164154</v>
      </c>
      <c r="V21" s="50" t="str">
        <f t="shared" si="1"/>
        <v>-</v>
      </c>
      <c r="W21" s="50" t="str">
        <f t="shared" si="1"/>
        <v>-</v>
      </c>
      <c r="X21" s="50" t="str">
        <f t="shared" si="1"/>
        <v>-</v>
      </c>
      <c r="Y21" s="50">
        <f t="shared" si="1"/>
        <v>0.3153845125109775</v>
      </c>
      <c r="Z21" s="1"/>
    </row>
    <row r="22" spans="11:26" ht="11.25">
      <c r="K22" s="3"/>
      <c r="L22" s="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"/>
    </row>
    <row r="23" spans="11:26" ht="11.25">
      <c r="K23" s="3" t="s">
        <v>57</v>
      </c>
      <c r="L23" s="4"/>
      <c r="M23" s="40">
        <f>iCostAlloc!M33</f>
        <v>6928.45</v>
      </c>
      <c r="N23" s="40">
        <f>iCostAlloc!N33</f>
        <v>6947.45</v>
      </c>
      <c r="O23" s="40">
        <f>iCostAlloc!O33</f>
        <v>6964.35</v>
      </c>
      <c r="P23" s="40">
        <f>iCostAlloc!P33</f>
        <v>9285.15</v>
      </c>
      <c r="Q23" s="40">
        <f>iCostAlloc!Q33</f>
        <v>6955.25</v>
      </c>
      <c r="R23" s="40">
        <f>iCostAlloc!R33</f>
        <v>6869.45</v>
      </c>
      <c r="S23" s="40">
        <f>iCostAlloc!S33</f>
        <v>6841.55</v>
      </c>
      <c r="T23" s="40">
        <f>iCostAlloc!T33</f>
        <v>6838.95</v>
      </c>
      <c r="U23" s="40">
        <f>iCostAlloc!U33</f>
        <v>6837.65</v>
      </c>
      <c r="V23" s="40">
        <f>iCostAlloc!V33</f>
        <v>0</v>
      </c>
      <c r="W23" s="40">
        <f>iCostAlloc!W33</f>
        <v>0</v>
      </c>
      <c r="X23" s="40">
        <f>iCostAlloc!X33</f>
        <v>0</v>
      </c>
      <c r="Y23" s="40">
        <f>iCostAlloc!Y33</f>
        <v>64468</v>
      </c>
      <c r="Z23" s="1"/>
    </row>
    <row r="24" spans="11:26" ht="11.25">
      <c r="K24" s="3"/>
      <c r="L24" s="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"/>
    </row>
    <row r="25" spans="11:26" ht="12" thickBot="1">
      <c r="K25" s="3" t="s">
        <v>58</v>
      </c>
      <c r="L25" s="4"/>
      <c r="M25" s="55">
        <f>M20-M23</f>
        <v>361.5500000000002</v>
      </c>
      <c r="N25" s="55">
        <f aca="true" t="shared" si="2" ref="N25:Y25">N20-N23</f>
        <v>707.5500000000002</v>
      </c>
      <c r="O25" s="55">
        <f t="shared" si="2"/>
        <v>690.6499999999996</v>
      </c>
      <c r="P25" s="55">
        <f t="shared" si="2"/>
        <v>-1376.1499999999996</v>
      </c>
      <c r="Q25" s="55">
        <f t="shared" si="2"/>
        <v>912.75</v>
      </c>
      <c r="R25" s="55">
        <f t="shared" si="2"/>
        <v>1002.5500000000002</v>
      </c>
      <c r="S25" s="55">
        <f t="shared" si="2"/>
        <v>1352.4499999999998</v>
      </c>
      <c r="T25" s="55">
        <f t="shared" si="2"/>
        <v>1268.0500000000002</v>
      </c>
      <c r="U25" s="55">
        <f t="shared" si="2"/>
        <v>1360.3500000000004</v>
      </c>
      <c r="V25" s="55">
        <f t="shared" si="2"/>
        <v>0</v>
      </c>
      <c r="W25" s="55">
        <f t="shared" si="2"/>
        <v>0</v>
      </c>
      <c r="X25" s="55">
        <f t="shared" si="2"/>
        <v>0</v>
      </c>
      <c r="Y25" s="55">
        <f t="shared" si="2"/>
        <v>6280</v>
      </c>
      <c r="Z25" s="1"/>
    </row>
    <row r="26" spans="11:26" ht="12" thickTop="1">
      <c r="K26" s="3" t="s">
        <v>90</v>
      </c>
      <c r="L26" s="4"/>
      <c r="M26" s="50">
        <f aca="true" t="shared" si="3" ref="M26:Y26">IF(M16=0,"-",M25/M16)</f>
        <v>0.015191176470588243</v>
      </c>
      <c r="N26" s="50">
        <f t="shared" si="3"/>
        <v>0.028281637221200744</v>
      </c>
      <c r="O26" s="50">
        <f t="shared" si="3"/>
        <v>0.02759950447570331</v>
      </c>
      <c r="P26" s="50">
        <f t="shared" si="3"/>
        <v>-0.05461779647563104</v>
      </c>
      <c r="Q26" s="50">
        <f t="shared" si="3"/>
        <v>0.03640515315890236</v>
      </c>
      <c r="R26" s="50">
        <f t="shared" si="3"/>
        <v>0.03999002792181892</v>
      </c>
      <c r="S26" s="50">
        <f t="shared" si="3"/>
        <v>0.05381814564265817</v>
      </c>
      <c r="T26" s="50">
        <f t="shared" si="3"/>
        <v>0.0509953349955763</v>
      </c>
      <c r="U26" s="50">
        <f t="shared" si="3"/>
        <v>0.054095916013838646</v>
      </c>
      <c r="V26" s="50" t="str">
        <f t="shared" si="3"/>
        <v>-</v>
      </c>
      <c r="W26" s="50" t="str">
        <f t="shared" si="3"/>
        <v>-</v>
      </c>
      <c r="X26" s="50" t="str">
        <f t="shared" si="3"/>
        <v>-</v>
      </c>
      <c r="Y26" s="50">
        <f t="shared" si="3"/>
        <v>0.027995345996620943</v>
      </c>
      <c r="Z26" s="1"/>
    </row>
    <row r="27" spans="11:26" ht="6" customHeight="1" thickBot="1">
      <c r="K27" s="5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2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K11:Z39"/>
  <sheetViews>
    <sheetView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M17" sqref="M17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18" t="s">
        <v>94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33"/>
      <c r="L14" s="32"/>
      <c r="M14" s="52" t="s">
        <v>151</v>
      </c>
      <c r="N14" s="52" t="s">
        <v>152</v>
      </c>
      <c r="O14" s="52" t="s">
        <v>153</v>
      </c>
      <c r="P14" s="52" t="s">
        <v>154</v>
      </c>
      <c r="Q14" s="52" t="s">
        <v>155</v>
      </c>
      <c r="R14" s="52" t="s">
        <v>156</v>
      </c>
      <c r="S14" s="52" t="s">
        <v>157</v>
      </c>
      <c r="T14" s="52" t="s">
        <v>158</v>
      </c>
      <c r="U14" s="52" t="s">
        <v>159</v>
      </c>
      <c r="V14" s="52" t="s">
        <v>160</v>
      </c>
      <c r="W14" s="52" t="s">
        <v>161</v>
      </c>
      <c r="X14" s="52" t="s">
        <v>162</v>
      </c>
      <c r="Y14" s="67" t="s">
        <v>163</v>
      </c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48" t="s">
        <v>54</v>
      </c>
      <c r="L16" s="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"/>
    </row>
    <row r="17" spans="11:26" ht="11.25">
      <c r="K17" s="45" t="s">
        <v>50</v>
      </c>
      <c r="L17" s="4"/>
      <c r="M17" s="40">
        <f>iCostAlloc!M23</f>
        <v>9700</v>
      </c>
      <c r="N17" s="40">
        <f>iCostAlloc!N23</f>
        <v>9987</v>
      </c>
      <c r="O17" s="40">
        <f>iCostAlloc!O23</f>
        <v>9955</v>
      </c>
      <c r="P17" s="40">
        <f>iCostAlloc!P23</f>
        <v>10032</v>
      </c>
      <c r="Q17" s="40">
        <f>iCostAlloc!Q23</f>
        <v>9957</v>
      </c>
      <c r="R17" s="40">
        <f>iCostAlloc!R23</f>
        <v>10041</v>
      </c>
      <c r="S17" s="40">
        <f>iCostAlloc!S23</f>
        <v>10091</v>
      </c>
      <c r="T17" s="40">
        <f>iCostAlloc!T23</f>
        <v>9963</v>
      </c>
      <c r="U17" s="40">
        <f>iCostAlloc!U23</f>
        <v>10078</v>
      </c>
      <c r="V17" s="40">
        <f>iCostAlloc!V23</f>
        <v>0</v>
      </c>
      <c r="W17" s="40">
        <f>iCostAlloc!W23</f>
        <v>0</v>
      </c>
      <c r="X17" s="40">
        <f>iCostAlloc!X23</f>
        <v>0</v>
      </c>
      <c r="Y17" s="40">
        <f>iCostAlloc!Y23</f>
        <v>89804</v>
      </c>
      <c r="Z17" s="1"/>
    </row>
    <row r="18" spans="11:26" ht="11.25">
      <c r="K18" s="45" t="s">
        <v>51</v>
      </c>
      <c r="L18" s="4"/>
      <c r="M18" s="40">
        <f>iCostAlloc!M24</f>
        <v>14100</v>
      </c>
      <c r="N18" s="40">
        <f>iCostAlloc!N24</f>
        <v>15031</v>
      </c>
      <c r="O18" s="40">
        <f>iCostAlloc!O24</f>
        <v>15069</v>
      </c>
      <c r="P18" s="40">
        <f>iCostAlloc!P24</f>
        <v>15164</v>
      </c>
      <c r="Q18" s="40">
        <f>iCostAlloc!Q24</f>
        <v>15115</v>
      </c>
      <c r="R18" s="40">
        <f>iCostAlloc!R24</f>
        <v>15029</v>
      </c>
      <c r="S18" s="40">
        <f>iCostAlloc!S24</f>
        <v>15039</v>
      </c>
      <c r="T18" s="40">
        <f>iCostAlloc!T24</f>
        <v>14903</v>
      </c>
      <c r="U18" s="40">
        <f>iCostAlloc!U24</f>
        <v>15069</v>
      </c>
      <c r="V18" s="40">
        <f>iCostAlloc!V24</f>
        <v>0</v>
      </c>
      <c r="W18" s="40">
        <f>iCostAlloc!W24</f>
        <v>0</v>
      </c>
      <c r="X18" s="40">
        <f>iCostAlloc!X24</f>
        <v>0</v>
      </c>
      <c r="Y18" s="40">
        <f>iCostAlloc!Y24</f>
        <v>134519</v>
      </c>
      <c r="Z18" s="1"/>
    </row>
    <row r="19" spans="11:26" ht="6.75" customHeight="1">
      <c r="K19" s="45"/>
      <c r="L19" s="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"/>
    </row>
    <row r="20" spans="11:26" ht="12" thickBot="1">
      <c r="K20" s="45" t="s">
        <v>45</v>
      </c>
      <c r="L20" s="4"/>
      <c r="M20" s="55">
        <f aca="true" t="shared" si="0" ref="M20:Y20">SUM(M16:M19)</f>
        <v>23800</v>
      </c>
      <c r="N20" s="55">
        <f t="shared" si="0"/>
        <v>25018</v>
      </c>
      <c r="O20" s="55">
        <f t="shared" si="0"/>
        <v>25024</v>
      </c>
      <c r="P20" s="55">
        <f t="shared" si="0"/>
        <v>25196</v>
      </c>
      <c r="Q20" s="55">
        <f t="shared" si="0"/>
        <v>25072</v>
      </c>
      <c r="R20" s="55">
        <f t="shared" si="0"/>
        <v>25070</v>
      </c>
      <c r="S20" s="55">
        <f t="shared" si="0"/>
        <v>25130</v>
      </c>
      <c r="T20" s="55">
        <f t="shared" si="0"/>
        <v>24866</v>
      </c>
      <c r="U20" s="55">
        <f t="shared" si="0"/>
        <v>25147</v>
      </c>
      <c r="V20" s="55">
        <f t="shared" si="0"/>
        <v>0</v>
      </c>
      <c r="W20" s="55">
        <f t="shared" si="0"/>
        <v>0</v>
      </c>
      <c r="X20" s="55">
        <f t="shared" si="0"/>
        <v>0</v>
      </c>
      <c r="Y20" s="55">
        <f t="shared" si="0"/>
        <v>224323</v>
      </c>
      <c r="Z20" s="1"/>
    </row>
    <row r="21" spans="11:26" ht="12" thickTop="1">
      <c r="K21" s="45"/>
      <c r="L21" s="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"/>
    </row>
    <row r="22" spans="11:26" ht="11.25">
      <c r="K22" s="48" t="s">
        <v>53</v>
      </c>
      <c r="L22" s="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"/>
    </row>
    <row r="23" spans="11:26" ht="11.25">
      <c r="K23" s="45" t="s">
        <v>50</v>
      </c>
      <c r="L23" s="4"/>
      <c r="M23" s="40">
        <f>iCostAlloc!M28</f>
        <v>6499</v>
      </c>
      <c r="N23" s="40">
        <f>iCostAlloc!N28</f>
        <v>6691</v>
      </c>
      <c r="O23" s="40">
        <f>iCostAlloc!O28</f>
        <v>6670</v>
      </c>
      <c r="P23" s="40">
        <f>iCostAlloc!P28</f>
        <v>6521</v>
      </c>
      <c r="Q23" s="40">
        <f>iCostAlloc!Q28</f>
        <v>6472</v>
      </c>
      <c r="R23" s="40">
        <f>iCostAlloc!R28</f>
        <v>6527</v>
      </c>
      <c r="S23" s="40">
        <f>iCostAlloc!S28</f>
        <v>6559</v>
      </c>
      <c r="T23" s="40">
        <f>iCostAlloc!T28</f>
        <v>6476</v>
      </c>
      <c r="U23" s="40">
        <f>iCostAlloc!U28</f>
        <v>6551</v>
      </c>
      <c r="V23" s="40">
        <f>iCostAlloc!V28</f>
        <v>0</v>
      </c>
      <c r="W23" s="40">
        <f>iCostAlloc!W28</f>
        <v>0</v>
      </c>
      <c r="X23" s="40">
        <f>iCostAlloc!X28</f>
        <v>0</v>
      </c>
      <c r="Y23" s="40">
        <f>iCostAlloc!Y28</f>
        <v>58966</v>
      </c>
      <c r="Z23" s="1"/>
    </row>
    <row r="24" spans="11:26" ht="11.25">
      <c r="K24" s="45" t="s">
        <v>51</v>
      </c>
      <c r="L24" s="4"/>
      <c r="M24" s="40">
        <f>iCostAlloc!M29</f>
        <v>10011</v>
      </c>
      <c r="N24" s="40">
        <f>iCostAlloc!N29</f>
        <v>10672</v>
      </c>
      <c r="O24" s="40">
        <f>iCostAlloc!O29</f>
        <v>10699</v>
      </c>
      <c r="P24" s="40">
        <f>iCostAlloc!P29</f>
        <v>10766</v>
      </c>
      <c r="Q24" s="40">
        <f>iCostAlloc!Q29</f>
        <v>10732</v>
      </c>
      <c r="R24" s="40">
        <f>iCostAlloc!R29</f>
        <v>10671</v>
      </c>
      <c r="S24" s="40">
        <f>iCostAlloc!S29</f>
        <v>10377</v>
      </c>
      <c r="T24" s="40">
        <f>iCostAlloc!T29</f>
        <v>10283</v>
      </c>
      <c r="U24" s="40">
        <f>iCostAlloc!U29</f>
        <v>10398</v>
      </c>
      <c r="V24" s="40">
        <f>iCostAlloc!V29</f>
        <v>0</v>
      </c>
      <c r="W24" s="40">
        <f>iCostAlloc!W29</f>
        <v>0</v>
      </c>
      <c r="X24" s="40">
        <f>iCostAlloc!X29</f>
        <v>0</v>
      </c>
      <c r="Y24" s="40">
        <f>iCostAlloc!Y29</f>
        <v>94609</v>
      </c>
      <c r="Z24" s="1"/>
    </row>
    <row r="25" spans="11:26" ht="6.75" customHeight="1">
      <c r="K25" s="45"/>
      <c r="L25" s="4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"/>
    </row>
    <row r="26" spans="11:26" ht="12" thickBot="1">
      <c r="K26" s="45" t="s">
        <v>45</v>
      </c>
      <c r="L26" s="4"/>
      <c r="M26" s="55">
        <f aca="true" t="shared" si="1" ref="M26:Y26">SUM(M22:M25)</f>
        <v>16510</v>
      </c>
      <c r="N26" s="55">
        <f t="shared" si="1"/>
        <v>17363</v>
      </c>
      <c r="O26" s="55">
        <f t="shared" si="1"/>
        <v>17369</v>
      </c>
      <c r="P26" s="55">
        <f t="shared" si="1"/>
        <v>17287</v>
      </c>
      <c r="Q26" s="55">
        <f t="shared" si="1"/>
        <v>17204</v>
      </c>
      <c r="R26" s="55">
        <f t="shared" si="1"/>
        <v>17198</v>
      </c>
      <c r="S26" s="55">
        <f t="shared" si="1"/>
        <v>16936</v>
      </c>
      <c r="T26" s="55">
        <f t="shared" si="1"/>
        <v>16759</v>
      </c>
      <c r="U26" s="55">
        <f t="shared" si="1"/>
        <v>16949</v>
      </c>
      <c r="V26" s="55">
        <f t="shared" si="1"/>
        <v>0</v>
      </c>
      <c r="W26" s="55">
        <f t="shared" si="1"/>
        <v>0</v>
      </c>
      <c r="X26" s="55">
        <f t="shared" si="1"/>
        <v>0</v>
      </c>
      <c r="Y26" s="55">
        <f t="shared" si="1"/>
        <v>153575</v>
      </c>
      <c r="Z26" s="1"/>
    </row>
    <row r="27" spans="11:26" ht="12" thickTop="1">
      <c r="K27" s="45"/>
      <c r="L27" s="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"/>
    </row>
    <row r="28" spans="11:26" ht="11.25">
      <c r="K28" s="48" t="s">
        <v>59</v>
      </c>
      <c r="L28" s="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"/>
    </row>
    <row r="29" spans="11:26" ht="11.25">
      <c r="K29" s="45" t="s">
        <v>50</v>
      </c>
      <c r="L29" s="4"/>
      <c r="M29" s="40">
        <f>iCostAlloc!M35</f>
        <v>2824</v>
      </c>
      <c r="N29" s="40">
        <f>iCostAlloc!N35</f>
        <v>2773</v>
      </c>
      <c r="O29" s="40">
        <f>iCostAlloc!O35</f>
        <v>2771</v>
      </c>
      <c r="P29" s="40">
        <f>iCostAlloc!P35</f>
        <v>3697</v>
      </c>
      <c r="Q29" s="40">
        <f>iCostAlloc!Q35</f>
        <v>2762</v>
      </c>
      <c r="R29" s="40">
        <f>iCostAlloc!R35</f>
        <v>2751</v>
      </c>
      <c r="S29" s="40">
        <f>iCostAlloc!S35</f>
        <v>2747</v>
      </c>
      <c r="T29" s="40">
        <f>iCostAlloc!T35</f>
        <v>2740</v>
      </c>
      <c r="U29" s="40">
        <f>iCostAlloc!U35</f>
        <v>2740</v>
      </c>
      <c r="V29" s="40">
        <f>iCostAlloc!V35</f>
        <v>0</v>
      </c>
      <c r="W29" s="40">
        <f>iCostAlloc!W35</f>
        <v>0</v>
      </c>
      <c r="X29" s="40">
        <f>iCostAlloc!X35</f>
        <v>0</v>
      </c>
      <c r="Y29" s="40">
        <f>iCostAlloc!Y35</f>
        <v>25805</v>
      </c>
      <c r="Z29" s="1"/>
    </row>
    <row r="30" spans="11:26" ht="11.25">
      <c r="K30" s="45" t="s">
        <v>51</v>
      </c>
      <c r="L30" s="4"/>
      <c r="M30" s="40">
        <f>iCostAlloc!M36</f>
        <v>4105</v>
      </c>
      <c r="N30" s="40">
        <f>iCostAlloc!N36</f>
        <v>4174</v>
      </c>
      <c r="O30" s="40">
        <f>iCostAlloc!O36</f>
        <v>4194</v>
      </c>
      <c r="P30" s="40">
        <f>iCostAlloc!P36</f>
        <v>5588</v>
      </c>
      <c r="Q30" s="40">
        <f>iCostAlloc!Q36</f>
        <v>4193</v>
      </c>
      <c r="R30" s="40">
        <f>iCostAlloc!R36</f>
        <v>4118</v>
      </c>
      <c r="S30" s="40">
        <f>iCostAlloc!S36</f>
        <v>4094</v>
      </c>
      <c r="T30" s="40">
        <f>iCostAlloc!T36</f>
        <v>4099</v>
      </c>
      <c r="U30" s="40">
        <f>iCostAlloc!U36</f>
        <v>4097</v>
      </c>
      <c r="V30" s="40">
        <f>iCostAlloc!V36</f>
        <v>0</v>
      </c>
      <c r="W30" s="40">
        <f>iCostAlloc!W36</f>
        <v>0</v>
      </c>
      <c r="X30" s="40">
        <f>iCostAlloc!X36</f>
        <v>0</v>
      </c>
      <c r="Y30" s="40">
        <f>iCostAlloc!Y36</f>
        <v>38662</v>
      </c>
      <c r="Z30" s="1"/>
    </row>
    <row r="31" spans="11:26" ht="6.75" customHeight="1">
      <c r="K31" s="45"/>
      <c r="L31" s="4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1"/>
    </row>
    <row r="32" spans="11:26" ht="12" thickBot="1">
      <c r="K32" s="45" t="s">
        <v>45</v>
      </c>
      <c r="L32" s="4"/>
      <c r="M32" s="55">
        <f aca="true" t="shared" si="2" ref="M32:Y32">SUM(M28:M31)</f>
        <v>6929</v>
      </c>
      <c r="N32" s="55">
        <f t="shared" si="2"/>
        <v>6947</v>
      </c>
      <c r="O32" s="55">
        <f t="shared" si="2"/>
        <v>6965</v>
      </c>
      <c r="P32" s="55">
        <f t="shared" si="2"/>
        <v>9285</v>
      </c>
      <c r="Q32" s="55">
        <f t="shared" si="2"/>
        <v>6955</v>
      </c>
      <c r="R32" s="55">
        <f t="shared" si="2"/>
        <v>6869</v>
      </c>
      <c r="S32" s="55">
        <f t="shared" si="2"/>
        <v>6841</v>
      </c>
      <c r="T32" s="55">
        <f t="shared" si="2"/>
        <v>6839</v>
      </c>
      <c r="U32" s="55">
        <f t="shared" si="2"/>
        <v>6837</v>
      </c>
      <c r="V32" s="55">
        <f t="shared" si="2"/>
        <v>0</v>
      </c>
      <c r="W32" s="55">
        <f t="shared" si="2"/>
        <v>0</v>
      </c>
      <c r="X32" s="55">
        <f t="shared" si="2"/>
        <v>0</v>
      </c>
      <c r="Y32" s="55">
        <f t="shared" si="2"/>
        <v>64467</v>
      </c>
      <c r="Z32" s="1"/>
    </row>
    <row r="33" spans="11:26" ht="12" thickTop="1">
      <c r="K33" s="45"/>
      <c r="L33" s="4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"/>
    </row>
    <row r="34" spans="11:26" ht="11.25">
      <c r="K34" s="48" t="s">
        <v>58</v>
      </c>
      <c r="L34" s="4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"/>
    </row>
    <row r="35" spans="11:26" ht="11.25">
      <c r="K35" s="45" t="s">
        <v>50</v>
      </c>
      <c r="L35" s="4"/>
      <c r="M35" s="40">
        <f>M17-M23-M29</f>
        <v>377</v>
      </c>
      <c r="N35" s="40">
        <f aca="true" t="shared" si="3" ref="N35:Y35">N17-N23-N29</f>
        <v>523</v>
      </c>
      <c r="O35" s="40">
        <f t="shared" si="3"/>
        <v>514</v>
      </c>
      <c r="P35" s="40">
        <f t="shared" si="3"/>
        <v>-186</v>
      </c>
      <c r="Q35" s="40">
        <f t="shared" si="3"/>
        <v>723</v>
      </c>
      <c r="R35" s="40">
        <f t="shared" si="3"/>
        <v>763</v>
      </c>
      <c r="S35" s="40">
        <f t="shared" si="3"/>
        <v>785</v>
      </c>
      <c r="T35" s="40">
        <f t="shared" si="3"/>
        <v>747</v>
      </c>
      <c r="U35" s="40">
        <f t="shared" si="3"/>
        <v>787</v>
      </c>
      <c r="V35" s="40">
        <f t="shared" si="3"/>
        <v>0</v>
      </c>
      <c r="W35" s="40">
        <f t="shared" si="3"/>
        <v>0</v>
      </c>
      <c r="X35" s="40">
        <f t="shared" si="3"/>
        <v>0</v>
      </c>
      <c r="Y35" s="40">
        <f t="shared" si="3"/>
        <v>5033</v>
      </c>
      <c r="Z35" s="1"/>
    </row>
    <row r="36" spans="11:26" ht="11.25">
      <c r="K36" s="45" t="s">
        <v>51</v>
      </c>
      <c r="L36" s="4"/>
      <c r="M36" s="40">
        <f aca="true" t="shared" si="4" ref="M36:Y36">M18-M24-M30</f>
        <v>-16</v>
      </c>
      <c r="N36" s="40">
        <f t="shared" si="4"/>
        <v>185</v>
      </c>
      <c r="O36" s="40">
        <f t="shared" si="4"/>
        <v>176</v>
      </c>
      <c r="P36" s="40">
        <f t="shared" si="4"/>
        <v>-1190</v>
      </c>
      <c r="Q36" s="40">
        <f t="shared" si="4"/>
        <v>190</v>
      </c>
      <c r="R36" s="40">
        <f t="shared" si="4"/>
        <v>240</v>
      </c>
      <c r="S36" s="40">
        <f t="shared" si="4"/>
        <v>568</v>
      </c>
      <c r="T36" s="40">
        <f t="shared" si="4"/>
        <v>521</v>
      </c>
      <c r="U36" s="40">
        <f t="shared" si="4"/>
        <v>574</v>
      </c>
      <c r="V36" s="40">
        <f t="shared" si="4"/>
        <v>0</v>
      </c>
      <c r="W36" s="40">
        <f t="shared" si="4"/>
        <v>0</v>
      </c>
      <c r="X36" s="40">
        <f t="shared" si="4"/>
        <v>0</v>
      </c>
      <c r="Y36" s="40">
        <f t="shared" si="4"/>
        <v>1248</v>
      </c>
      <c r="Z36" s="1"/>
    </row>
    <row r="37" spans="11:26" ht="6.75" customHeight="1">
      <c r="K37" s="45"/>
      <c r="L37" s="4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"/>
    </row>
    <row r="38" spans="11:26" ht="12" thickBot="1">
      <c r="K38" s="45" t="s">
        <v>45</v>
      </c>
      <c r="L38" s="4"/>
      <c r="M38" s="55">
        <f>SUM(M34:M37)</f>
        <v>361</v>
      </c>
      <c r="N38" s="55">
        <f aca="true" t="shared" si="5" ref="N38:Y38">SUM(N34:N37)</f>
        <v>708</v>
      </c>
      <c r="O38" s="55">
        <f t="shared" si="5"/>
        <v>690</v>
      </c>
      <c r="P38" s="55">
        <f t="shared" si="5"/>
        <v>-1376</v>
      </c>
      <c r="Q38" s="55">
        <f t="shared" si="5"/>
        <v>913</v>
      </c>
      <c r="R38" s="55">
        <f t="shared" si="5"/>
        <v>1003</v>
      </c>
      <c r="S38" s="55">
        <f t="shared" si="5"/>
        <v>1353</v>
      </c>
      <c r="T38" s="55">
        <f t="shared" si="5"/>
        <v>1268</v>
      </c>
      <c r="U38" s="55">
        <f t="shared" si="5"/>
        <v>1361</v>
      </c>
      <c r="V38" s="55">
        <f t="shared" si="5"/>
        <v>0</v>
      </c>
      <c r="W38" s="55">
        <f t="shared" si="5"/>
        <v>0</v>
      </c>
      <c r="X38" s="55">
        <f t="shared" si="5"/>
        <v>0</v>
      </c>
      <c r="Y38" s="55">
        <f t="shared" si="5"/>
        <v>6281</v>
      </c>
      <c r="Z38" s="1"/>
    </row>
    <row r="39" spans="11:26" ht="6" customHeight="1" thickBot="1" thickTop="1">
      <c r="K39" s="5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2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K11:Z37"/>
  <sheetViews>
    <sheetView tabSelected="1" showOutlineSymbols="0"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M23" sqref="M23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18" t="s">
        <v>150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11"/>
      <c r="L14" s="32"/>
      <c r="M14" s="52" t="s">
        <v>151</v>
      </c>
      <c r="N14" s="52" t="s">
        <v>152</v>
      </c>
      <c r="O14" s="52" t="s">
        <v>153</v>
      </c>
      <c r="P14" s="52" t="s">
        <v>154</v>
      </c>
      <c r="Q14" s="52" t="s">
        <v>155</v>
      </c>
      <c r="R14" s="52" t="s">
        <v>156</v>
      </c>
      <c r="S14" s="52" t="s">
        <v>157</v>
      </c>
      <c r="T14" s="52" t="s">
        <v>158</v>
      </c>
      <c r="U14" s="52" t="s">
        <v>159</v>
      </c>
      <c r="V14" s="52" t="s">
        <v>160</v>
      </c>
      <c r="W14" s="52" t="s">
        <v>161</v>
      </c>
      <c r="X14" s="52" t="s">
        <v>162</v>
      </c>
      <c r="Y14" s="67" t="s">
        <v>163</v>
      </c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48" t="s">
        <v>47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49" t="s">
        <v>49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3">
      <c r="K18" s="44" t="s">
        <v>50</v>
      </c>
      <c r="L18" s="4"/>
      <c r="M18" s="51">
        <v>0.67</v>
      </c>
      <c r="N18" s="51">
        <v>0.67</v>
      </c>
      <c r="O18" s="51">
        <v>0.67</v>
      </c>
      <c r="P18" s="51">
        <v>0.65</v>
      </c>
      <c r="Q18" s="51">
        <v>0.65</v>
      </c>
      <c r="R18" s="51">
        <v>0.65</v>
      </c>
      <c r="S18" s="51">
        <v>0.65</v>
      </c>
      <c r="T18" s="51">
        <v>0.65</v>
      </c>
      <c r="U18" s="51">
        <v>0.65</v>
      </c>
      <c r="V18" s="51">
        <v>0.65</v>
      </c>
      <c r="W18" s="51">
        <v>0.65</v>
      </c>
      <c r="X18" s="51">
        <v>0.65</v>
      </c>
      <c r="Y18" s="40"/>
      <c r="Z18" s="1"/>
    </row>
    <row r="19" spans="11:26" ht="11.25" outlineLevel="3">
      <c r="K19" s="44" t="s">
        <v>51</v>
      </c>
      <c r="L19" s="4"/>
      <c r="M19" s="51">
        <v>0.71</v>
      </c>
      <c r="N19" s="51">
        <v>0.71</v>
      </c>
      <c r="O19" s="51">
        <v>0.71</v>
      </c>
      <c r="P19" s="51">
        <v>0.71</v>
      </c>
      <c r="Q19" s="51">
        <v>0.71</v>
      </c>
      <c r="R19" s="51">
        <v>0.71</v>
      </c>
      <c r="S19" s="51">
        <v>0.69</v>
      </c>
      <c r="T19" s="51">
        <v>0.69</v>
      </c>
      <c r="U19" s="51">
        <v>0.69</v>
      </c>
      <c r="V19" s="51">
        <v>0.69</v>
      </c>
      <c r="W19" s="51">
        <v>0.69</v>
      </c>
      <c r="X19" s="51">
        <v>0.69</v>
      </c>
      <c r="Y19" s="40"/>
      <c r="Z19" s="1"/>
    </row>
    <row r="20" spans="11:26" ht="6" customHeight="1"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>
      <c r="K21" s="48" t="s">
        <v>48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>
      <c r="K22" s="49" t="s">
        <v>54</v>
      </c>
      <c r="L22" s="4" t="s">
        <v>81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1:26" ht="11.25">
      <c r="K23" s="44" t="str">
        <f>K18</f>
        <v>Prod A</v>
      </c>
      <c r="L23" s="4">
        <v>1001</v>
      </c>
      <c r="M23" s="40">
        <f>SUMIF(sSales!$K$14:$K$28,$L23,sSales!N$14:N$28)</f>
        <v>9700</v>
      </c>
      <c r="N23" s="40">
        <f>SUMIF(sSales!$K$14:$K$28,$L23,sSales!O$14:O$28)</f>
        <v>9987</v>
      </c>
      <c r="O23" s="40">
        <f>SUMIF(sSales!$K$14:$K$28,$L23,sSales!P$14:P$28)</f>
        <v>9955</v>
      </c>
      <c r="P23" s="40">
        <f>SUMIF(sSales!$K$14:$K$28,$L23,sSales!Q$14:Q$28)</f>
        <v>10032</v>
      </c>
      <c r="Q23" s="40">
        <f>SUMIF(sSales!$K$14:$K$28,$L23,sSales!R$14:R$28)</f>
        <v>9957</v>
      </c>
      <c r="R23" s="40">
        <f>SUMIF(sSales!$K$14:$K$28,$L23,sSales!S$14:S$28)</f>
        <v>10041</v>
      </c>
      <c r="S23" s="40">
        <f>SUMIF(sSales!$K$14:$K$28,$L23,sSales!T$14:T$28)</f>
        <v>10091</v>
      </c>
      <c r="T23" s="40">
        <f>SUMIF(sSales!$K$14:$K$28,$L23,sSales!U$14:U$28)</f>
        <v>9963</v>
      </c>
      <c r="U23" s="40">
        <f>SUMIF(sSales!$K$14:$K$28,$L23,sSales!V$14:V$28)</f>
        <v>10078</v>
      </c>
      <c r="V23" s="40">
        <f>SUMIF(sSales!$K$14:$K$28,$L23,sSales!W$14:W$28)</f>
        <v>0</v>
      </c>
      <c r="W23" s="40">
        <f>SUMIF(sSales!$K$14:$K$28,$L23,sSales!X$14:X$28)</f>
        <v>0</v>
      </c>
      <c r="X23" s="40">
        <f>SUMIF(sSales!$K$14:$K$28,$L23,sSales!Y$14:Y$28)</f>
        <v>0</v>
      </c>
      <c r="Y23" s="40">
        <f>SUM(M23:X23)</f>
        <v>89804</v>
      </c>
      <c r="Z23" s="1"/>
    </row>
    <row r="24" spans="11:26" ht="11.25">
      <c r="K24" s="44" t="str">
        <f>K19</f>
        <v>Prod B</v>
      </c>
      <c r="L24" s="4">
        <v>1002</v>
      </c>
      <c r="M24" s="40">
        <f>SUMIF(sSales!$K$14:$K$28,$L24,sSales!N$14:N$28)</f>
        <v>14100</v>
      </c>
      <c r="N24" s="40">
        <f>SUMIF(sSales!$K$14:$K$28,$L24,sSales!O$14:O$28)</f>
        <v>15031</v>
      </c>
      <c r="O24" s="40">
        <f>SUMIF(sSales!$K$14:$K$28,$L24,sSales!P$14:P$28)</f>
        <v>15069</v>
      </c>
      <c r="P24" s="40">
        <f>SUMIF(sSales!$K$14:$K$28,$L24,sSales!Q$14:Q$28)</f>
        <v>15164</v>
      </c>
      <c r="Q24" s="40">
        <f>SUMIF(sSales!$K$14:$K$28,$L24,sSales!R$14:R$28)</f>
        <v>15115</v>
      </c>
      <c r="R24" s="40">
        <f>SUMIF(sSales!$K$14:$K$28,$L24,sSales!S$14:S$28)</f>
        <v>15029</v>
      </c>
      <c r="S24" s="40">
        <f>SUMIF(sSales!$K$14:$K$28,$L24,sSales!T$14:T$28)</f>
        <v>15039</v>
      </c>
      <c r="T24" s="40">
        <f>SUMIF(sSales!$K$14:$K$28,$L24,sSales!U$14:U$28)</f>
        <v>14903</v>
      </c>
      <c r="U24" s="40">
        <f>SUMIF(sSales!$K$14:$K$28,$L24,sSales!V$14:V$28)</f>
        <v>15069</v>
      </c>
      <c r="V24" s="40">
        <f>SUMIF(sSales!$K$14:$K$28,$L24,sSales!W$14:W$28)</f>
        <v>0</v>
      </c>
      <c r="W24" s="40">
        <f>SUMIF(sSales!$K$14:$K$28,$L24,sSales!X$14:X$28)</f>
        <v>0</v>
      </c>
      <c r="X24" s="40">
        <f>SUMIF(sSales!$K$14:$K$28,$L24,sSales!Y$14:Y$28)</f>
        <v>0</v>
      </c>
      <c r="Y24" s="40">
        <f>SUM(M24:X24)</f>
        <v>134519</v>
      </c>
      <c r="Z24" s="1"/>
    </row>
    <row r="25" spans="11:26" ht="6.75" customHeight="1">
      <c r="K25" s="44"/>
      <c r="L25" s="4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"/>
    </row>
    <row r="26" spans="11:26" ht="12" thickBot="1">
      <c r="K26" s="44"/>
      <c r="L26" s="4"/>
      <c r="M26" s="56">
        <f>SUM(M22:M25)</f>
        <v>23800</v>
      </c>
      <c r="N26" s="56">
        <f>SUM(N22:N25)</f>
        <v>25018</v>
      </c>
      <c r="O26" s="56">
        <f>SUM(O22:O25)</f>
        <v>25024</v>
      </c>
      <c r="P26" s="56">
        <f>SUM(P22:P25)</f>
        <v>25196</v>
      </c>
      <c r="Q26" s="56">
        <f>SUM(Q22:Q25)</f>
        <v>25072</v>
      </c>
      <c r="R26" s="56">
        <f>SUM(R22:R25)</f>
        <v>25070</v>
      </c>
      <c r="S26" s="56">
        <f>SUM(S22:S25)</f>
        <v>25130</v>
      </c>
      <c r="T26" s="56">
        <f>SUM(T22:T25)</f>
        <v>24866</v>
      </c>
      <c r="U26" s="56">
        <f>SUM(U22:U25)</f>
        <v>25147</v>
      </c>
      <c r="V26" s="56">
        <f>SUM(V22:V25)</f>
        <v>0</v>
      </c>
      <c r="W26" s="56">
        <f>SUM(W22:W25)</f>
        <v>0</v>
      </c>
      <c r="X26" s="56">
        <f>SUM(X22:X25)</f>
        <v>0</v>
      </c>
      <c r="Y26" s="56">
        <f>SUM(Y22:Y25)</f>
        <v>224323</v>
      </c>
      <c r="Z26" s="1"/>
    </row>
    <row r="27" spans="11:26" ht="12" outlineLevel="2" thickTop="1">
      <c r="K27" s="49" t="s">
        <v>53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1:26" ht="11.25" outlineLevel="1">
      <c r="K28" s="44" t="str">
        <f>K23</f>
        <v>Prod A</v>
      </c>
      <c r="L28" s="4"/>
      <c r="M28" s="40">
        <f>ROUND(M18*M23,0)</f>
        <v>6499</v>
      </c>
      <c r="N28" s="40">
        <f>ROUND(N18*N23,0)</f>
        <v>6691</v>
      </c>
      <c r="O28" s="40">
        <f>ROUND(O18*O23,0)</f>
        <v>6670</v>
      </c>
      <c r="P28" s="40">
        <f>ROUND(P18*P23,0)</f>
        <v>6521</v>
      </c>
      <c r="Q28" s="40">
        <f>ROUND(Q18*Q23,0)</f>
        <v>6472</v>
      </c>
      <c r="R28" s="40">
        <f>ROUND(R18*R23,0)</f>
        <v>6527</v>
      </c>
      <c r="S28" s="40">
        <f>ROUND(S18*S23,0)</f>
        <v>6559</v>
      </c>
      <c r="T28" s="40">
        <f>ROUND(T18*T23,0)</f>
        <v>6476</v>
      </c>
      <c r="U28" s="40">
        <f>ROUND(U18*U23,0)</f>
        <v>6551</v>
      </c>
      <c r="V28" s="40">
        <f>ROUND(V18*V23,0)</f>
        <v>0</v>
      </c>
      <c r="W28" s="40">
        <f>ROUND(W18*W23,0)</f>
        <v>0</v>
      </c>
      <c r="X28" s="40">
        <f>ROUND(X18*X23,0)</f>
        <v>0</v>
      </c>
      <c r="Y28" s="40">
        <f>ROUND(SUM(M28:X28),0)</f>
        <v>58966</v>
      </c>
      <c r="Z28" s="1"/>
    </row>
    <row r="29" spans="11:26" ht="11.25" outlineLevel="1">
      <c r="K29" s="44" t="str">
        <f>K24</f>
        <v>Prod B</v>
      </c>
      <c r="L29" s="4"/>
      <c r="M29" s="40">
        <f>ROUND(M19*M24,0)</f>
        <v>10011</v>
      </c>
      <c r="N29" s="40">
        <f>ROUND(N19*N24,0)</f>
        <v>10672</v>
      </c>
      <c r="O29" s="40">
        <f>ROUND(O19*O24,0)</f>
        <v>10699</v>
      </c>
      <c r="P29" s="40">
        <f>ROUND(P19*P24,0)</f>
        <v>10766</v>
      </c>
      <c r="Q29" s="40">
        <f>ROUND(Q19*Q24,0)</f>
        <v>10732</v>
      </c>
      <c r="R29" s="40">
        <f>ROUND(R19*R24,0)</f>
        <v>10671</v>
      </c>
      <c r="S29" s="40">
        <f>ROUND(S19*S24,0)</f>
        <v>10377</v>
      </c>
      <c r="T29" s="40">
        <f>ROUND(T19*T24,0)</f>
        <v>10283</v>
      </c>
      <c r="U29" s="40">
        <f>ROUND(U19*U24,0)</f>
        <v>10398</v>
      </c>
      <c r="V29" s="40">
        <f>ROUND(V19*V24,0)</f>
        <v>0</v>
      </c>
      <c r="W29" s="40">
        <f>ROUND(W19*W24,0)</f>
        <v>0</v>
      </c>
      <c r="X29" s="40">
        <f>ROUND(X19*X24,0)</f>
        <v>0</v>
      </c>
      <c r="Y29" s="40">
        <f>ROUND(SUM(M29:X29),0)</f>
        <v>94609</v>
      </c>
      <c r="Z29" s="1"/>
    </row>
    <row r="30" spans="11:26" ht="6.75" customHeight="1" outlineLevel="1">
      <c r="K30" s="44"/>
      <c r="L30" s="4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"/>
    </row>
    <row r="31" spans="11:26" ht="12" outlineLevel="1" thickBot="1">
      <c r="K31" s="44"/>
      <c r="L31" s="4"/>
      <c r="M31" s="56">
        <f>SUM(M27:M30)</f>
        <v>16510</v>
      </c>
      <c r="N31" s="56">
        <f>SUM(N27:N30)</f>
        <v>17363</v>
      </c>
      <c r="O31" s="56">
        <f>SUM(O27:O30)</f>
        <v>17369</v>
      </c>
      <c r="P31" s="56">
        <f>SUM(P27:P30)</f>
        <v>17287</v>
      </c>
      <c r="Q31" s="56">
        <f>SUM(Q27:Q30)</f>
        <v>17204</v>
      </c>
      <c r="R31" s="56">
        <f>SUM(R27:R30)</f>
        <v>17198</v>
      </c>
      <c r="S31" s="56">
        <f>SUM(S27:S30)</f>
        <v>16936</v>
      </c>
      <c r="T31" s="56">
        <f>SUM(T27:T30)</f>
        <v>16759</v>
      </c>
      <c r="U31" s="56">
        <f>SUM(U27:U30)</f>
        <v>16949</v>
      </c>
      <c r="V31" s="56">
        <f>SUM(V27:V30)</f>
        <v>0</v>
      </c>
      <c r="W31" s="56">
        <f>SUM(W27:W30)</f>
        <v>0</v>
      </c>
      <c r="X31" s="56">
        <f>SUM(X27:X30)</f>
        <v>0</v>
      </c>
      <c r="Y31" s="56">
        <f>ROUND(SUM(Y27:Y30),0)</f>
        <v>153575</v>
      </c>
      <c r="Z31" s="1"/>
    </row>
    <row r="32" spans="11:26" ht="12" outlineLevel="1" thickTop="1">
      <c r="K32" s="49" t="s">
        <v>57</v>
      </c>
      <c r="L32" s="4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1"/>
    </row>
    <row r="33" spans="11:26" ht="11.25" outlineLevel="1">
      <c r="K33" s="44" t="s">
        <v>57</v>
      </c>
      <c r="L33" s="4"/>
      <c r="M33" s="40">
        <f>dTotOhds!M53</f>
        <v>6928.45</v>
      </c>
      <c r="N33" s="40">
        <f>dTotOhds!N53</f>
        <v>6947.45</v>
      </c>
      <c r="O33" s="40">
        <f>dTotOhds!O53</f>
        <v>6964.35</v>
      </c>
      <c r="P33" s="40">
        <f>dTotOhds!P53</f>
        <v>9285.15</v>
      </c>
      <c r="Q33" s="40">
        <f>dTotOhds!Q53</f>
        <v>6955.25</v>
      </c>
      <c r="R33" s="40">
        <f>dTotOhds!R53</f>
        <v>6869.45</v>
      </c>
      <c r="S33" s="40">
        <f>dTotOhds!S53</f>
        <v>6841.55</v>
      </c>
      <c r="T33" s="40">
        <f>dTotOhds!T53</f>
        <v>6838.95</v>
      </c>
      <c r="U33" s="40">
        <f>dTotOhds!U53</f>
        <v>6837.65</v>
      </c>
      <c r="V33" s="40">
        <f>dTotOhds!V53</f>
        <v>0</v>
      </c>
      <c r="W33" s="40">
        <f>dTotOhds!W53</f>
        <v>0</v>
      </c>
      <c r="X33" s="40">
        <f>dTotOhds!X53</f>
        <v>0</v>
      </c>
      <c r="Y33" s="40">
        <f>ROUND(dTotOhds!Y53,0)</f>
        <v>64468</v>
      </c>
      <c r="Z33" s="1"/>
    </row>
    <row r="34" spans="11:26" ht="11.25" outlineLevel="1">
      <c r="K34" s="49" t="s">
        <v>59</v>
      </c>
      <c r="L34" s="4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"/>
    </row>
    <row r="35" spans="11:26" ht="11.25" outlineLevel="1">
      <c r="K35" s="44" t="str">
        <f>K28</f>
        <v>Prod A</v>
      </c>
      <c r="L35" s="4"/>
      <c r="M35" s="40">
        <f>IF(M$26=0,0,ROUND(M$33*M23/M$26,0))</f>
        <v>2824</v>
      </c>
      <c r="N35" s="40">
        <f>IF(N$26=0,0,ROUND(N$33*N23/N$26,0))</f>
        <v>2773</v>
      </c>
      <c r="O35" s="40">
        <f>IF(O$26=0,0,ROUND(O$33*O23/O$26,0))</f>
        <v>2771</v>
      </c>
      <c r="P35" s="40">
        <f>IF(P$26=0,0,ROUND(P$33*P23/P$26,0))</f>
        <v>3697</v>
      </c>
      <c r="Q35" s="40">
        <f>IF(Q$26=0,0,ROUND(Q$33*Q23/Q$26,0))</f>
        <v>2762</v>
      </c>
      <c r="R35" s="40">
        <f>IF(R$26=0,0,ROUND(R$33*R23/R$26,0))</f>
        <v>2751</v>
      </c>
      <c r="S35" s="40">
        <f>IF(S$26=0,0,ROUND(S$33*S23/S$26,0))</f>
        <v>2747</v>
      </c>
      <c r="T35" s="40">
        <f>IF(T$26=0,0,ROUND(T$33*T23/T$26,0))</f>
        <v>2740</v>
      </c>
      <c r="U35" s="40">
        <f>IF(U$26=0,0,ROUND(U$33*U23/U$26,0))</f>
        <v>2740</v>
      </c>
      <c r="V35" s="40">
        <f>IF(V$26=0,0,V$33*V23/V$26)</f>
        <v>0</v>
      </c>
      <c r="W35" s="40">
        <f>IF(W$26=0,0,W$33*W23/W$26)</f>
        <v>0</v>
      </c>
      <c r="X35" s="40">
        <f>IF(X$26=0,0,X$33*X23/X$26)</f>
        <v>0</v>
      </c>
      <c r="Y35" s="40">
        <f>ROUND(SUM(M35:X35),0)</f>
        <v>25805</v>
      </c>
      <c r="Z35" s="1"/>
    </row>
    <row r="36" spans="11:26" ht="11.25" outlineLevel="1">
      <c r="K36" s="44" t="str">
        <f>K29</f>
        <v>Prod B</v>
      </c>
      <c r="L36" s="4"/>
      <c r="M36" s="40">
        <f>IF(M$26=0,0,ROUND(M$33*M24/M$26,0))</f>
        <v>4105</v>
      </c>
      <c r="N36" s="40">
        <f>IF(N$26=0,0,ROUND(N$33*N24/N$26,0))</f>
        <v>4174</v>
      </c>
      <c r="O36" s="40">
        <f>IF(O$26=0,0,ROUND(O$33*O24/O$26,0))</f>
        <v>4194</v>
      </c>
      <c r="P36" s="40">
        <f>IF(P$26=0,0,ROUND(P$33*P24/P$26,0))</f>
        <v>5588</v>
      </c>
      <c r="Q36" s="40">
        <f>IF(Q$26=0,0,ROUND(Q$33*Q24/Q$26,0))</f>
        <v>4193</v>
      </c>
      <c r="R36" s="40">
        <f>IF(R$26=0,0,ROUND(R$33*R24/R$26,0))</f>
        <v>4118</v>
      </c>
      <c r="S36" s="40">
        <f>IF(S$26=0,0,ROUND(S$33*S24/S$26,0))</f>
        <v>4094</v>
      </c>
      <c r="T36" s="40">
        <f>IF(T$26=0,0,ROUND(T$33*T24/T$26,0))</f>
        <v>4099</v>
      </c>
      <c r="U36" s="40">
        <f>IF(U$26=0,0,ROUND(U$33*U24/U$26,0))</f>
        <v>4097</v>
      </c>
      <c r="V36" s="40">
        <f>IF(V$26=0,0,V$33*V24/V$26)</f>
        <v>0</v>
      </c>
      <c r="W36" s="40">
        <f>IF(W$26=0,0,W$33*W24/W$26)</f>
        <v>0</v>
      </c>
      <c r="X36" s="40">
        <f>IF(X$26=0,0,X$33*X24/X$26)</f>
        <v>0</v>
      </c>
      <c r="Y36" s="40">
        <f>ROUND(SUM(M36:X36),0)</f>
        <v>38662</v>
      </c>
      <c r="Z36" s="1"/>
    </row>
    <row r="37" spans="11:26" ht="6" customHeight="1" thickBot="1">
      <c r="K37" s="5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2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2"/>
  <headerFooter alignWithMargins="0">
    <oddFooter>&amp;L&amp;8&amp;D &amp;T&amp;C&amp;8&amp;Z&amp;F&amp;R&amp;8&amp;P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61"/>
  </sheetPr>
  <dimension ref="K11:Z54"/>
  <sheetViews>
    <sheetView showOutlineSymbols="0" zoomScalePageLayoutView="0" workbookViewId="0" topLeftCell="K11">
      <pane xSplit="1" ySplit="4" topLeftCell="L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M26" sqref="M26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18" t="s">
        <v>93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33"/>
      <c r="L14" s="32"/>
      <c r="M14" s="52" t="s">
        <v>151</v>
      </c>
      <c r="N14" s="52" t="s">
        <v>152</v>
      </c>
      <c r="O14" s="52" t="s">
        <v>153</v>
      </c>
      <c r="P14" s="52" t="s">
        <v>154</v>
      </c>
      <c r="Q14" s="52" t="s">
        <v>155</v>
      </c>
      <c r="R14" s="52" t="s">
        <v>156</v>
      </c>
      <c r="S14" s="52" t="s">
        <v>157</v>
      </c>
      <c r="T14" s="52" t="s">
        <v>158</v>
      </c>
      <c r="U14" s="52" t="s">
        <v>159</v>
      </c>
      <c r="V14" s="52" t="s">
        <v>160</v>
      </c>
      <c r="W14" s="52" t="s">
        <v>161</v>
      </c>
      <c r="X14" s="52" t="s">
        <v>162</v>
      </c>
      <c r="Y14" s="67" t="s">
        <v>163</v>
      </c>
      <c r="Z14" s="34"/>
    </row>
    <row r="15" spans="11:26" ht="6" customHeight="1">
      <c r="K15" s="6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3"/>
    </row>
    <row r="16" spans="11:26" ht="11.25">
      <c r="K16" s="37" t="s">
        <v>77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 outlineLevel="3">
      <c r="K17" s="38" t="s">
        <v>64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3">
      <c r="K18" s="43" t="s">
        <v>60</v>
      </c>
      <c r="L18" s="4"/>
      <c r="M18" s="40">
        <f>SUM(mAdmin:mMgmt!M18)</f>
        <v>4850</v>
      </c>
      <c r="N18" s="40">
        <f>SUM(mAdmin:mMgmt!N18)</f>
        <v>4850</v>
      </c>
      <c r="O18" s="40">
        <f>SUM(mAdmin:mMgmt!O18)</f>
        <v>4850</v>
      </c>
      <c r="P18" s="40">
        <f>SUM(mAdmin:mMgmt!P18)</f>
        <v>4850</v>
      </c>
      <c r="Q18" s="40">
        <f>SUM(mAdmin:mMgmt!Q18)</f>
        <v>4850</v>
      </c>
      <c r="R18" s="40">
        <f>SUM(mAdmin:mMgmt!R18)</f>
        <v>4850</v>
      </c>
      <c r="S18" s="40">
        <f>SUM(mAdmin:mMgmt!S18)</f>
        <v>4850</v>
      </c>
      <c r="T18" s="40">
        <f>SUM(mAdmin:mMgmt!T18)</f>
        <v>4850</v>
      </c>
      <c r="U18" s="40">
        <f>SUM(mAdmin:mMgmt!U18)</f>
        <v>4850</v>
      </c>
      <c r="V18" s="40">
        <f>SUM(mAdmin:mMgmt!V18)</f>
        <v>0</v>
      </c>
      <c r="W18" s="40">
        <f>SUM(mAdmin:mMgmt!W18)</f>
        <v>0</v>
      </c>
      <c r="X18" s="40">
        <f>SUM(mAdmin:mMgmt!X18)</f>
        <v>0</v>
      </c>
      <c r="Y18" s="40">
        <f>SUM(M18:X18)</f>
        <v>43650</v>
      </c>
      <c r="Z18" s="1"/>
    </row>
    <row r="19" spans="11:26" ht="11.25" outlineLevel="3">
      <c r="K19" s="43" t="s">
        <v>61</v>
      </c>
      <c r="L19" s="4"/>
      <c r="M19" s="40">
        <f>SUM(mAdmin:mMgmt!M19)</f>
        <v>330</v>
      </c>
      <c r="N19" s="40">
        <f>SUM(mAdmin:mMgmt!N19)</f>
        <v>330</v>
      </c>
      <c r="O19" s="40">
        <f>SUM(mAdmin:mMgmt!O19)</f>
        <v>330</v>
      </c>
      <c r="P19" s="40">
        <f>SUM(mAdmin:mMgmt!P19)</f>
        <v>330</v>
      </c>
      <c r="Q19" s="40">
        <f>SUM(mAdmin:mMgmt!Q19)</f>
        <v>330</v>
      </c>
      <c r="R19" s="40">
        <f>SUM(mAdmin:mMgmt!R19)</f>
        <v>330</v>
      </c>
      <c r="S19" s="40">
        <f>SUM(mAdmin:mMgmt!S19)</f>
        <v>345</v>
      </c>
      <c r="T19" s="40">
        <f>SUM(mAdmin:mMgmt!T19)</f>
        <v>345</v>
      </c>
      <c r="U19" s="40">
        <f>SUM(mAdmin:mMgmt!U19)</f>
        <v>345</v>
      </c>
      <c r="V19" s="40">
        <f>SUM(mAdmin:mMgmt!V19)</f>
        <v>0</v>
      </c>
      <c r="W19" s="40">
        <f>SUM(mAdmin:mMgmt!W19)</f>
        <v>0</v>
      </c>
      <c r="X19" s="40">
        <f>SUM(mAdmin:mMgmt!X19)</f>
        <v>0</v>
      </c>
      <c r="Y19" s="40">
        <f>SUM(M19:X19)</f>
        <v>3015</v>
      </c>
      <c r="Z19" s="1"/>
    </row>
    <row r="20" spans="11:26" ht="11.25" outlineLevel="3">
      <c r="K20" s="43" t="s">
        <v>62</v>
      </c>
      <c r="L20" s="4"/>
      <c r="M20" s="40">
        <f>SUM(mAdmin:mMgmt!M20)</f>
        <v>275</v>
      </c>
      <c r="N20" s="40">
        <f>SUM(mAdmin:mMgmt!N20)</f>
        <v>275</v>
      </c>
      <c r="O20" s="40">
        <f>SUM(mAdmin:mMgmt!O20)</f>
        <v>275</v>
      </c>
      <c r="P20" s="40">
        <f>SUM(mAdmin:mMgmt!P20)</f>
        <v>275</v>
      </c>
      <c r="Q20" s="40">
        <f>SUM(mAdmin:mMgmt!Q20)</f>
        <v>275</v>
      </c>
      <c r="R20" s="40">
        <f>SUM(mAdmin:mMgmt!R20)</f>
        <v>275</v>
      </c>
      <c r="S20" s="40">
        <f>SUM(mAdmin:mMgmt!S20)</f>
        <v>275</v>
      </c>
      <c r="T20" s="40">
        <f>SUM(mAdmin:mMgmt!T20)</f>
        <v>275</v>
      </c>
      <c r="U20" s="40">
        <f>SUM(mAdmin:mMgmt!U20)</f>
        <v>275</v>
      </c>
      <c r="V20" s="40">
        <f>SUM(mAdmin:mMgmt!V20)</f>
        <v>0</v>
      </c>
      <c r="W20" s="40">
        <f>SUM(mAdmin:mMgmt!W20)</f>
        <v>0</v>
      </c>
      <c r="X20" s="40">
        <f>SUM(mAdmin:mMgmt!X20)</f>
        <v>0</v>
      </c>
      <c r="Y20" s="40">
        <f>SUM(M20:X20)</f>
        <v>2475</v>
      </c>
      <c r="Z20" s="1"/>
    </row>
    <row r="21" spans="11:26" ht="11.25" outlineLevel="3">
      <c r="K21" s="43" t="s">
        <v>63</v>
      </c>
      <c r="L21" s="4"/>
      <c r="M21" s="40">
        <f>SUM(mAdmin:mMgmt!M21)</f>
        <v>51</v>
      </c>
      <c r="N21" s="40">
        <f>SUM(mAdmin:mMgmt!N21)</f>
        <v>51</v>
      </c>
      <c r="O21" s="40">
        <f>SUM(mAdmin:mMgmt!O21)</f>
        <v>51</v>
      </c>
      <c r="P21" s="40">
        <f>SUM(mAdmin:mMgmt!P21)</f>
        <v>51</v>
      </c>
      <c r="Q21" s="40">
        <f>SUM(mAdmin:mMgmt!Q21)</f>
        <v>51</v>
      </c>
      <c r="R21" s="40">
        <f>SUM(mAdmin:mMgmt!R21)</f>
        <v>51</v>
      </c>
      <c r="S21" s="40">
        <f>SUM(mAdmin:mMgmt!S21)</f>
        <v>51</v>
      </c>
      <c r="T21" s="40">
        <f>SUM(mAdmin:mMgmt!T21)</f>
        <v>51</v>
      </c>
      <c r="U21" s="40">
        <f>SUM(mAdmin:mMgmt!U21)</f>
        <v>51</v>
      </c>
      <c r="V21" s="40">
        <f>SUM(mAdmin:mMgmt!V21)</f>
        <v>0</v>
      </c>
      <c r="W21" s="40">
        <f>SUM(mAdmin:mMgmt!W21)</f>
        <v>0</v>
      </c>
      <c r="X21" s="40">
        <f>SUM(mAdmin:mMgmt!X21)</f>
        <v>0</v>
      </c>
      <c r="Y21" s="40">
        <f>SUM(M21:X21)</f>
        <v>459</v>
      </c>
      <c r="Z21" s="1"/>
    </row>
    <row r="22" spans="11:26" ht="6.75" customHeight="1" outlineLevel="3">
      <c r="K22" s="41"/>
      <c r="L22" s="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1"/>
    </row>
    <row r="23" spans="11:26" ht="12" outlineLevel="2" thickBot="1">
      <c r="K23" s="43" t="s">
        <v>45</v>
      </c>
      <c r="L23" s="4"/>
      <c r="M23" s="55">
        <f aca="true" t="shared" si="0" ref="M23:Y23">SUBTOTAL(9,M17:M22)</f>
        <v>5506</v>
      </c>
      <c r="N23" s="55">
        <f t="shared" si="0"/>
        <v>5506</v>
      </c>
      <c r="O23" s="55">
        <f t="shared" si="0"/>
        <v>5506</v>
      </c>
      <c r="P23" s="55">
        <f t="shared" si="0"/>
        <v>5506</v>
      </c>
      <c r="Q23" s="55">
        <f t="shared" si="0"/>
        <v>5506</v>
      </c>
      <c r="R23" s="55">
        <f t="shared" si="0"/>
        <v>5506</v>
      </c>
      <c r="S23" s="55">
        <f t="shared" si="0"/>
        <v>5521</v>
      </c>
      <c r="T23" s="55">
        <f t="shared" si="0"/>
        <v>5521</v>
      </c>
      <c r="U23" s="55">
        <f t="shared" si="0"/>
        <v>5521</v>
      </c>
      <c r="V23" s="55">
        <f t="shared" si="0"/>
        <v>0</v>
      </c>
      <c r="W23" s="55">
        <f t="shared" si="0"/>
        <v>0</v>
      </c>
      <c r="X23" s="55">
        <f t="shared" si="0"/>
        <v>0</v>
      </c>
      <c r="Y23" s="55">
        <f t="shared" si="0"/>
        <v>49599</v>
      </c>
      <c r="Z23" s="1"/>
    </row>
    <row r="24" spans="11:26" ht="12" outlineLevel="3" thickTop="1">
      <c r="K24" s="38" t="s">
        <v>68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 outlineLevel="3">
      <c r="K25" s="43" t="s">
        <v>65</v>
      </c>
      <c r="L25" s="4"/>
      <c r="M25" s="40">
        <f>SUM(mAdmin:mMgmt!M25)</f>
        <v>257.4</v>
      </c>
      <c r="N25" s="40">
        <f>SUM(mAdmin:mMgmt!N25)</f>
        <v>273</v>
      </c>
      <c r="O25" s="40">
        <f>SUM(mAdmin:mMgmt!O25)</f>
        <v>299</v>
      </c>
      <c r="P25" s="40">
        <f>SUM(mAdmin:mMgmt!P25)</f>
        <v>325</v>
      </c>
      <c r="Q25" s="40">
        <f>SUM(mAdmin:mMgmt!Q25)</f>
        <v>305.5</v>
      </c>
      <c r="R25" s="40">
        <f>SUM(mAdmin:mMgmt!R25)</f>
        <v>271.7</v>
      </c>
      <c r="S25" s="40">
        <f>SUM(mAdmin:mMgmt!S25)</f>
        <v>261.3</v>
      </c>
      <c r="T25" s="40">
        <f>SUM(mAdmin:mMgmt!T25)</f>
        <v>257.4</v>
      </c>
      <c r="U25" s="40">
        <f>SUM(mAdmin:mMgmt!U25)</f>
        <v>245.7</v>
      </c>
      <c r="V25" s="40">
        <f>SUM(mAdmin:mMgmt!V25)</f>
        <v>0</v>
      </c>
      <c r="W25" s="40">
        <f>SUM(mAdmin:mMgmt!W25)</f>
        <v>0</v>
      </c>
      <c r="X25" s="40">
        <f>SUM(mAdmin:mMgmt!X25)</f>
        <v>0</v>
      </c>
      <c r="Y25" s="40">
        <f>SUM(M25:X25)</f>
        <v>2496</v>
      </c>
      <c r="Z25" s="1"/>
    </row>
    <row r="26" spans="11:26" ht="11.25" outlineLevel="3">
      <c r="K26" s="43" t="s">
        <v>66</v>
      </c>
      <c r="L26" s="4"/>
      <c r="M26" s="40">
        <f>SUM(mAdmin:mMgmt!M26)</f>
        <v>216.45</v>
      </c>
      <c r="N26" s="40">
        <f>SUM(mAdmin:mMgmt!N26)</f>
        <v>216.45</v>
      </c>
      <c r="O26" s="40">
        <f>SUM(mAdmin:mMgmt!O26)</f>
        <v>216.45</v>
      </c>
      <c r="P26" s="40">
        <f>SUM(mAdmin:mMgmt!P26)</f>
        <v>216.45</v>
      </c>
      <c r="Q26" s="40">
        <f>SUM(mAdmin:mMgmt!Q26)</f>
        <v>216.45</v>
      </c>
      <c r="R26" s="40">
        <f>SUM(mAdmin:mMgmt!R26)</f>
        <v>216.45</v>
      </c>
      <c r="S26" s="40">
        <f>SUM(mAdmin:mMgmt!S26)</f>
        <v>216.45</v>
      </c>
      <c r="T26" s="40">
        <f>SUM(mAdmin:mMgmt!T26)</f>
        <v>216.45</v>
      </c>
      <c r="U26" s="40">
        <f>SUM(mAdmin:mMgmt!U26)</f>
        <v>216.45</v>
      </c>
      <c r="V26" s="40">
        <f>SUM(mAdmin:mMgmt!V26)</f>
        <v>0</v>
      </c>
      <c r="W26" s="40">
        <f>SUM(mAdmin:mMgmt!W26)</f>
        <v>0</v>
      </c>
      <c r="X26" s="40">
        <f>SUM(mAdmin:mMgmt!X26)</f>
        <v>0</v>
      </c>
      <c r="Y26" s="40">
        <f>SUM(M26:X26)</f>
        <v>1948.0500000000002</v>
      </c>
      <c r="Z26" s="1"/>
    </row>
    <row r="27" spans="11:26" ht="11.25" outlineLevel="3">
      <c r="K27" s="43" t="s">
        <v>67</v>
      </c>
      <c r="L27" s="4"/>
      <c r="M27" s="40">
        <f>SUM(mAdmin:mMgmt!M27)</f>
        <v>131.3</v>
      </c>
      <c r="N27" s="40">
        <f>SUM(mAdmin:mMgmt!N27)</f>
        <v>141.7</v>
      </c>
      <c r="O27" s="40">
        <f>SUM(mAdmin:mMgmt!O27)</f>
        <v>132.6</v>
      </c>
      <c r="P27" s="40">
        <f>SUM(mAdmin:mMgmt!P27)</f>
        <v>127.4</v>
      </c>
      <c r="Q27" s="40">
        <f>SUM(mAdmin:mMgmt!Q27)</f>
        <v>117</v>
      </c>
      <c r="R27" s="40">
        <f>SUM(mAdmin:mMgmt!R27)</f>
        <v>65</v>
      </c>
      <c r="S27" s="40">
        <f>SUM(mAdmin:mMgmt!S27)</f>
        <v>32.5</v>
      </c>
      <c r="T27" s="40">
        <f>SUM(mAdmin:mMgmt!T27)</f>
        <v>33.8</v>
      </c>
      <c r="U27" s="40">
        <f>SUM(mAdmin:mMgmt!U27)</f>
        <v>44.2</v>
      </c>
      <c r="V27" s="40">
        <f>SUM(mAdmin:mMgmt!V27)</f>
        <v>0</v>
      </c>
      <c r="W27" s="40">
        <f>SUM(mAdmin:mMgmt!W27)</f>
        <v>0</v>
      </c>
      <c r="X27" s="40">
        <f>SUM(mAdmin:mMgmt!X27)</f>
        <v>0</v>
      </c>
      <c r="Y27" s="40">
        <f>SUM(M27:X27)</f>
        <v>825.5</v>
      </c>
      <c r="Z27" s="1"/>
    </row>
    <row r="28" spans="11:26" ht="6.75" customHeight="1" outlineLevel="3">
      <c r="K28" s="41"/>
      <c r="L28" s="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1"/>
    </row>
    <row r="29" spans="11:26" ht="12" outlineLevel="2" thickBot="1">
      <c r="K29" s="43" t="s">
        <v>45</v>
      </c>
      <c r="L29" s="4"/>
      <c r="M29" s="55">
        <f aca="true" t="shared" si="1" ref="M29:Y29">SUBTOTAL(9,M24:M28)</f>
        <v>605.15</v>
      </c>
      <c r="N29" s="55">
        <f t="shared" si="1"/>
        <v>631.15</v>
      </c>
      <c r="O29" s="55">
        <f t="shared" si="1"/>
        <v>648.0500000000001</v>
      </c>
      <c r="P29" s="55">
        <f t="shared" si="1"/>
        <v>668.85</v>
      </c>
      <c r="Q29" s="55">
        <f t="shared" si="1"/>
        <v>638.95</v>
      </c>
      <c r="R29" s="55">
        <f t="shared" si="1"/>
        <v>553.15</v>
      </c>
      <c r="S29" s="55">
        <f t="shared" si="1"/>
        <v>510.25</v>
      </c>
      <c r="T29" s="55">
        <f t="shared" si="1"/>
        <v>507.65</v>
      </c>
      <c r="U29" s="55">
        <f t="shared" si="1"/>
        <v>506.34999999999997</v>
      </c>
      <c r="V29" s="55">
        <f t="shared" si="1"/>
        <v>0</v>
      </c>
      <c r="W29" s="55">
        <f t="shared" si="1"/>
        <v>0</v>
      </c>
      <c r="X29" s="55">
        <f t="shared" si="1"/>
        <v>0</v>
      </c>
      <c r="Y29" s="55">
        <f t="shared" si="1"/>
        <v>5269.55</v>
      </c>
      <c r="Z29" s="1"/>
    </row>
    <row r="30" spans="11:26" ht="12" outlineLevel="3" thickTop="1">
      <c r="K30" s="38" t="s">
        <v>78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 outlineLevel="3">
      <c r="K31" s="43" t="s">
        <v>73</v>
      </c>
      <c r="L31" s="4"/>
      <c r="M31" s="40">
        <f>SUM(mAdmin:mMgmt!M31)</f>
        <v>130</v>
      </c>
      <c r="N31" s="40">
        <f>SUM(mAdmin:mMgmt!N31)</f>
        <v>130</v>
      </c>
      <c r="O31" s="40">
        <f>SUM(mAdmin:mMgmt!O31)</f>
        <v>130</v>
      </c>
      <c r="P31" s="40">
        <f>SUM(mAdmin:mMgmt!P31)</f>
        <v>130</v>
      </c>
      <c r="Q31" s="40">
        <f>SUM(mAdmin:mMgmt!Q31)</f>
        <v>130</v>
      </c>
      <c r="R31" s="40">
        <f>SUM(mAdmin:mMgmt!R31)</f>
        <v>130</v>
      </c>
      <c r="S31" s="40">
        <f>SUM(mAdmin:mMgmt!S31)</f>
        <v>130</v>
      </c>
      <c r="T31" s="40">
        <f>SUM(mAdmin:mMgmt!T31)</f>
        <v>130</v>
      </c>
      <c r="U31" s="40">
        <f>SUM(mAdmin:mMgmt!U31)</f>
        <v>130</v>
      </c>
      <c r="V31" s="40">
        <f>SUM(mAdmin:mMgmt!V31)</f>
        <v>0</v>
      </c>
      <c r="W31" s="40">
        <f>SUM(mAdmin:mMgmt!W31)</f>
        <v>0</v>
      </c>
      <c r="X31" s="40">
        <f>SUM(mAdmin:mMgmt!X31)</f>
        <v>0</v>
      </c>
      <c r="Y31" s="40">
        <f>SUM(M31:X31)</f>
        <v>1170</v>
      </c>
      <c r="Z31" s="1"/>
    </row>
    <row r="32" spans="11:26" ht="11.25" outlineLevel="3">
      <c r="K32" s="43" t="s">
        <v>96</v>
      </c>
      <c r="L32" s="4"/>
      <c r="M32" s="40">
        <f>SUM(mAdmin:mMgmt!M32)</f>
        <v>84.5</v>
      </c>
      <c r="N32" s="40">
        <f>SUM(mAdmin:mMgmt!N32)</f>
        <v>84.5</v>
      </c>
      <c r="O32" s="40">
        <f>SUM(mAdmin:mMgmt!O32)</f>
        <v>84.5</v>
      </c>
      <c r="P32" s="40">
        <f>SUM(mAdmin:mMgmt!P32)</f>
        <v>84.5</v>
      </c>
      <c r="Q32" s="40">
        <f>SUM(mAdmin:mMgmt!Q32)</f>
        <v>84.5</v>
      </c>
      <c r="R32" s="40">
        <f>SUM(mAdmin:mMgmt!R32)</f>
        <v>84.5</v>
      </c>
      <c r="S32" s="40">
        <f>SUM(mAdmin:mMgmt!S32)</f>
        <v>84.5</v>
      </c>
      <c r="T32" s="40">
        <f>SUM(mAdmin:mMgmt!T32)</f>
        <v>84.5</v>
      </c>
      <c r="U32" s="40">
        <f>SUM(mAdmin:mMgmt!U32)</f>
        <v>84.5</v>
      </c>
      <c r="V32" s="40">
        <f>SUM(mAdmin:mMgmt!V32)</f>
        <v>0</v>
      </c>
      <c r="W32" s="40">
        <f>SUM(mAdmin:mMgmt!W32)</f>
        <v>0</v>
      </c>
      <c r="X32" s="40">
        <f>SUM(mAdmin:mMgmt!X32)</f>
        <v>0</v>
      </c>
      <c r="Y32" s="40">
        <f>SUM(M32:X32)</f>
        <v>760.5</v>
      </c>
      <c r="Z32" s="1"/>
    </row>
    <row r="33" spans="11:26" ht="11.25" outlineLevel="3">
      <c r="K33" s="43" t="s">
        <v>76</v>
      </c>
      <c r="L33" s="4"/>
      <c r="M33" s="40">
        <f>SUM(mAdmin:mMgmt!M33)</f>
        <v>85</v>
      </c>
      <c r="N33" s="40">
        <f>SUM(mAdmin:mMgmt!N33)</f>
        <v>85</v>
      </c>
      <c r="O33" s="40">
        <f>SUM(mAdmin:mMgmt!O33)</f>
        <v>85</v>
      </c>
      <c r="P33" s="40">
        <f>SUM(mAdmin:mMgmt!P33)</f>
        <v>85</v>
      </c>
      <c r="Q33" s="40">
        <f>SUM(mAdmin:mMgmt!Q33)</f>
        <v>85</v>
      </c>
      <c r="R33" s="40">
        <f>SUM(mAdmin:mMgmt!R33)</f>
        <v>85</v>
      </c>
      <c r="S33" s="40">
        <f>SUM(mAdmin:mMgmt!S33)</f>
        <v>85</v>
      </c>
      <c r="T33" s="40">
        <f>SUM(mAdmin:mMgmt!T33)</f>
        <v>85</v>
      </c>
      <c r="U33" s="40">
        <f>SUM(mAdmin:mMgmt!U33)</f>
        <v>85</v>
      </c>
      <c r="V33" s="40">
        <f>SUM(mAdmin:mMgmt!V33)</f>
        <v>0</v>
      </c>
      <c r="W33" s="40">
        <f>SUM(mAdmin:mMgmt!W33)</f>
        <v>0</v>
      </c>
      <c r="X33" s="40">
        <f>SUM(mAdmin:mMgmt!X33)</f>
        <v>0</v>
      </c>
      <c r="Y33" s="40">
        <f>SUM(M33:X33)</f>
        <v>765</v>
      </c>
      <c r="Z33" s="1"/>
    </row>
    <row r="34" spans="11:26" ht="6.75" customHeight="1" outlineLevel="3">
      <c r="K34" s="41"/>
      <c r="L34" s="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1"/>
    </row>
    <row r="35" spans="11:26" ht="12" outlineLevel="2" thickBot="1">
      <c r="K35" s="43" t="s">
        <v>45</v>
      </c>
      <c r="L35" s="4"/>
      <c r="M35" s="55">
        <f aca="true" t="shared" si="2" ref="M35:Y35">SUBTOTAL(9,M30:M34)</f>
        <v>299.5</v>
      </c>
      <c r="N35" s="55">
        <f t="shared" si="2"/>
        <v>299.5</v>
      </c>
      <c r="O35" s="55">
        <f t="shared" si="2"/>
        <v>299.5</v>
      </c>
      <c r="P35" s="55">
        <f t="shared" si="2"/>
        <v>299.5</v>
      </c>
      <c r="Q35" s="55">
        <f t="shared" si="2"/>
        <v>299.5</v>
      </c>
      <c r="R35" s="55">
        <f t="shared" si="2"/>
        <v>299.5</v>
      </c>
      <c r="S35" s="55">
        <f t="shared" si="2"/>
        <v>299.5</v>
      </c>
      <c r="T35" s="55">
        <f t="shared" si="2"/>
        <v>299.5</v>
      </c>
      <c r="U35" s="55">
        <f t="shared" si="2"/>
        <v>299.5</v>
      </c>
      <c r="V35" s="55">
        <f t="shared" si="2"/>
        <v>0</v>
      </c>
      <c r="W35" s="55">
        <f t="shared" si="2"/>
        <v>0</v>
      </c>
      <c r="X35" s="55">
        <f t="shared" si="2"/>
        <v>0</v>
      </c>
      <c r="Y35" s="55">
        <f t="shared" si="2"/>
        <v>2695.5</v>
      </c>
      <c r="Z35" s="1"/>
    </row>
    <row r="36" spans="11:26" ht="6.75" customHeight="1" outlineLevel="2" thickTop="1">
      <c r="K36" s="36"/>
      <c r="L36" s="4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"/>
    </row>
    <row r="37" spans="11:26" ht="12" outlineLevel="1" thickBot="1">
      <c r="K37" s="54" t="s">
        <v>45</v>
      </c>
      <c r="L37" s="4"/>
      <c r="M37" s="55">
        <f aca="true" t="shared" si="3" ref="M37:Y37">SUBTOTAL(9,M16:M36)</f>
        <v>6410.65</v>
      </c>
      <c r="N37" s="55">
        <f t="shared" si="3"/>
        <v>6436.65</v>
      </c>
      <c r="O37" s="55">
        <f t="shared" si="3"/>
        <v>6453.55</v>
      </c>
      <c r="P37" s="55">
        <f t="shared" si="3"/>
        <v>6474.349999999999</v>
      </c>
      <c r="Q37" s="55">
        <f t="shared" si="3"/>
        <v>6444.45</v>
      </c>
      <c r="R37" s="55">
        <f t="shared" si="3"/>
        <v>6358.65</v>
      </c>
      <c r="S37" s="55">
        <f t="shared" si="3"/>
        <v>6330.75</v>
      </c>
      <c r="T37" s="55">
        <f t="shared" si="3"/>
        <v>6328.15</v>
      </c>
      <c r="U37" s="55">
        <f t="shared" si="3"/>
        <v>6326.849999999999</v>
      </c>
      <c r="V37" s="55">
        <f t="shared" si="3"/>
        <v>0</v>
      </c>
      <c r="W37" s="55">
        <f t="shared" si="3"/>
        <v>0</v>
      </c>
      <c r="X37" s="55">
        <f t="shared" si="3"/>
        <v>0</v>
      </c>
      <c r="Y37" s="55">
        <f t="shared" si="3"/>
        <v>57564.05</v>
      </c>
      <c r="Z37" s="1"/>
    </row>
    <row r="38" spans="11:26" ht="12" outlineLevel="1" thickTop="1">
      <c r="K38" s="37" t="s">
        <v>79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1:26" ht="11.25" outlineLevel="3">
      <c r="K39" s="38" t="s">
        <v>72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1:26" ht="11.25" outlineLevel="3">
      <c r="K40" s="43" t="s">
        <v>69</v>
      </c>
      <c r="L40" s="4"/>
      <c r="M40" s="40">
        <f>SUM(mAdmin:mMgmt!M40)</f>
        <v>156</v>
      </c>
      <c r="N40" s="40">
        <f>SUM(mAdmin:mMgmt!N40)</f>
        <v>156</v>
      </c>
      <c r="O40" s="40">
        <f>SUM(mAdmin:mMgmt!O40)</f>
        <v>156</v>
      </c>
      <c r="P40" s="40">
        <f>SUM(mAdmin:mMgmt!P40)</f>
        <v>156</v>
      </c>
      <c r="Q40" s="40">
        <f>SUM(mAdmin:mMgmt!Q40)</f>
        <v>156</v>
      </c>
      <c r="R40" s="40">
        <f>SUM(mAdmin:mMgmt!R40)</f>
        <v>156</v>
      </c>
      <c r="S40" s="40">
        <f>SUM(mAdmin:mMgmt!S40)</f>
        <v>156</v>
      </c>
      <c r="T40" s="40">
        <f>SUM(mAdmin:mMgmt!T40)</f>
        <v>156</v>
      </c>
      <c r="U40" s="40">
        <f>SUM(mAdmin:mMgmt!U40)</f>
        <v>156</v>
      </c>
      <c r="V40" s="40">
        <f>SUM(mAdmin:mMgmt!V40)</f>
        <v>0</v>
      </c>
      <c r="W40" s="40">
        <f>SUM(mAdmin:mMgmt!W40)</f>
        <v>0</v>
      </c>
      <c r="X40" s="40">
        <f>SUM(mAdmin:mMgmt!X40)</f>
        <v>0</v>
      </c>
      <c r="Y40" s="40">
        <f>SUM(M40:X40)</f>
        <v>1404</v>
      </c>
      <c r="Z40" s="1"/>
    </row>
    <row r="41" spans="11:26" ht="11.25" outlineLevel="3">
      <c r="K41" s="43" t="s">
        <v>70</v>
      </c>
      <c r="L41" s="4"/>
      <c r="M41" s="40">
        <f>SUM(mAdmin:mMgmt!M41)</f>
        <v>119.6</v>
      </c>
      <c r="N41" s="40">
        <f>SUM(mAdmin:mMgmt!N41)</f>
        <v>119.6</v>
      </c>
      <c r="O41" s="40">
        <f>SUM(mAdmin:mMgmt!O41)</f>
        <v>119.6</v>
      </c>
      <c r="P41" s="40">
        <f>SUM(mAdmin:mMgmt!P41)</f>
        <v>119.6</v>
      </c>
      <c r="Q41" s="40">
        <f>SUM(mAdmin:mMgmt!Q41)</f>
        <v>119.6</v>
      </c>
      <c r="R41" s="40">
        <f>SUM(mAdmin:mMgmt!R41)</f>
        <v>119.6</v>
      </c>
      <c r="S41" s="40">
        <f>SUM(mAdmin:mMgmt!S41)</f>
        <v>119.6</v>
      </c>
      <c r="T41" s="40">
        <f>SUM(mAdmin:mMgmt!T41)</f>
        <v>119.6</v>
      </c>
      <c r="U41" s="40">
        <f>SUM(mAdmin:mMgmt!U41)</f>
        <v>119.6</v>
      </c>
      <c r="V41" s="40">
        <f>SUM(mAdmin:mMgmt!V41)</f>
        <v>0</v>
      </c>
      <c r="W41" s="40">
        <f>SUM(mAdmin:mMgmt!W41)</f>
        <v>0</v>
      </c>
      <c r="X41" s="40">
        <f>SUM(mAdmin:mMgmt!X41)</f>
        <v>0</v>
      </c>
      <c r="Y41" s="40">
        <f>SUM(M41:X41)</f>
        <v>1076.4</v>
      </c>
      <c r="Z41" s="1"/>
    </row>
    <row r="42" spans="11:26" ht="11.25" outlineLevel="3">
      <c r="K42" s="43" t="s">
        <v>71</v>
      </c>
      <c r="L42" s="4"/>
      <c r="M42" s="40">
        <f>SUM(mAdmin:mMgmt!M42)</f>
        <v>142.2</v>
      </c>
      <c r="N42" s="40">
        <f>SUM(mAdmin:mMgmt!N42)</f>
        <v>135.2</v>
      </c>
      <c r="O42" s="40">
        <f>SUM(mAdmin:mMgmt!O42)</f>
        <v>135.2</v>
      </c>
      <c r="P42" s="40">
        <f>SUM(mAdmin:mMgmt!P42)</f>
        <v>135.2</v>
      </c>
      <c r="Q42" s="40">
        <f>SUM(mAdmin:mMgmt!Q42)</f>
        <v>135.2</v>
      </c>
      <c r="R42" s="40">
        <f>SUM(mAdmin:mMgmt!R42)</f>
        <v>135.2</v>
      </c>
      <c r="S42" s="40">
        <f>SUM(mAdmin:mMgmt!S42)</f>
        <v>135.2</v>
      </c>
      <c r="T42" s="40">
        <f>SUM(mAdmin:mMgmt!T42)</f>
        <v>135.2</v>
      </c>
      <c r="U42" s="40">
        <f>SUM(mAdmin:mMgmt!U42)</f>
        <v>135.2</v>
      </c>
      <c r="V42" s="40">
        <f>SUM(mAdmin:mMgmt!V42)</f>
        <v>0</v>
      </c>
      <c r="W42" s="40">
        <f>SUM(mAdmin:mMgmt!W42)</f>
        <v>0</v>
      </c>
      <c r="X42" s="40">
        <f>SUM(mAdmin:mMgmt!X42)</f>
        <v>0</v>
      </c>
      <c r="Y42" s="40">
        <f>SUM(M42:X42)</f>
        <v>1223.8000000000002</v>
      </c>
      <c r="Z42" s="1"/>
    </row>
    <row r="43" spans="11:26" ht="6.75" customHeight="1" outlineLevel="3">
      <c r="K43" s="41"/>
      <c r="L43" s="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"/>
    </row>
    <row r="44" spans="11:26" ht="12" outlineLevel="2" thickBot="1">
      <c r="K44" s="43" t="s">
        <v>45</v>
      </c>
      <c r="L44" s="4"/>
      <c r="M44" s="55">
        <f aca="true" t="shared" si="4" ref="M44:Y44">SUBTOTAL(9,M39:M43)</f>
        <v>417.8</v>
      </c>
      <c r="N44" s="55">
        <f t="shared" si="4"/>
        <v>410.8</v>
      </c>
      <c r="O44" s="55">
        <f t="shared" si="4"/>
        <v>410.8</v>
      </c>
      <c r="P44" s="55">
        <f t="shared" si="4"/>
        <v>410.8</v>
      </c>
      <c r="Q44" s="55">
        <f t="shared" si="4"/>
        <v>410.8</v>
      </c>
      <c r="R44" s="55">
        <f t="shared" si="4"/>
        <v>410.8</v>
      </c>
      <c r="S44" s="55">
        <f t="shared" si="4"/>
        <v>410.8</v>
      </c>
      <c r="T44" s="55">
        <f t="shared" si="4"/>
        <v>410.8</v>
      </c>
      <c r="U44" s="55">
        <f t="shared" si="4"/>
        <v>410.8</v>
      </c>
      <c r="V44" s="55">
        <f t="shared" si="4"/>
        <v>0</v>
      </c>
      <c r="W44" s="55">
        <f t="shared" si="4"/>
        <v>0</v>
      </c>
      <c r="X44" s="55">
        <f t="shared" si="4"/>
        <v>0</v>
      </c>
      <c r="Y44" s="55">
        <f t="shared" si="4"/>
        <v>3704.2000000000003</v>
      </c>
      <c r="Z44" s="1"/>
    </row>
    <row r="45" spans="11:26" ht="12" thickTop="1">
      <c r="K45" s="38" t="s">
        <v>80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</row>
    <row r="46" spans="11:26" ht="11.25">
      <c r="K46" s="43" t="s">
        <v>74</v>
      </c>
      <c r="L46" s="4"/>
      <c r="M46" s="40">
        <f>SUM(mAdmin:mMgmt!M46)</f>
        <v>0</v>
      </c>
      <c r="N46" s="40">
        <f>SUM(mAdmin:mMgmt!N46)</f>
        <v>0</v>
      </c>
      <c r="O46" s="40">
        <f>SUM(mAdmin:mMgmt!O46)</f>
        <v>0</v>
      </c>
      <c r="P46" s="40">
        <f>SUM(mAdmin:mMgmt!P46)</f>
        <v>2300</v>
      </c>
      <c r="Q46" s="40">
        <f>SUM(mAdmin:mMgmt!Q46)</f>
        <v>0</v>
      </c>
      <c r="R46" s="40">
        <f>SUM(mAdmin:mMgmt!R46)</f>
        <v>0</v>
      </c>
      <c r="S46" s="40">
        <f>SUM(mAdmin:mMgmt!S46)</f>
        <v>0</v>
      </c>
      <c r="T46" s="40">
        <f>SUM(mAdmin:mMgmt!T46)</f>
        <v>0</v>
      </c>
      <c r="U46" s="40">
        <f>SUM(mAdmin:mMgmt!U46)</f>
        <v>0</v>
      </c>
      <c r="V46" s="40">
        <f>SUM(mAdmin:mMgmt!V46)</f>
        <v>0</v>
      </c>
      <c r="W46" s="40">
        <f>SUM(mAdmin:mMgmt!W46)</f>
        <v>0</v>
      </c>
      <c r="X46" s="40">
        <f>SUM(mAdmin:mMgmt!X46)</f>
        <v>0</v>
      </c>
      <c r="Y46" s="40">
        <f>SUM(M46:X46)</f>
        <v>2300</v>
      </c>
      <c r="Z46" s="1"/>
    </row>
    <row r="47" spans="11:26" ht="11.25">
      <c r="K47" s="43" t="s">
        <v>75</v>
      </c>
      <c r="L47" s="4"/>
      <c r="M47" s="40">
        <f>SUM(mAdmin:mMgmt!M47)</f>
        <v>100</v>
      </c>
      <c r="N47" s="40">
        <f>SUM(mAdmin:mMgmt!N47)</f>
        <v>100</v>
      </c>
      <c r="O47" s="40">
        <f>SUM(mAdmin:mMgmt!O47)</f>
        <v>100</v>
      </c>
      <c r="P47" s="40">
        <f>SUM(mAdmin:mMgmt!P47)</f>
        <v>100</v>
      </c>
      <c r="Q47" s="40">
        <f>SUM(mAdmin:mMgmt!Q47)</f>
        <v>100</v>
      </c>
      <c r="R47" s="40">
        <f>SUM(mAdmin:mMgmt!R47)</f>
        <v>100</v>
      </c>
      <c r="S47" s="40">
        <f>SUM(mAdmin:mMgmt!S47)</f>
        <v>100</v>
      </c>
      <c r="T47" s="40">
        <f>SUM(mAdmin:mMgmt!T47)</f>
        <v>100</v>
      </c>
      <c r="U47" s="40">
        <f>SUM(mAdmin:mMgmt!U47)</f>
        <v>100</v>
      </c>
      <c r="V47" s="40">
        <f>SUM(mAdmin:mMgmt!V47)</f>
        <v>0</v>
      </c>
      <c r="W47" s="40">
        <f>SUM(mAdmin:mMgmt!W47)</f>
        <v>0</v>
      </c>
      <c r="X47" s="40">
        <f>SUM(mAdmin:mMgmt!X47)</f>
        <v>0</v>
      </c>
      <c r="Y47" s="40">
        <f>SUM(M47:X47)</f>
        <v>900</v>
      </c>
      <c r="Z47" s="1"/>
    </row>
    <row r="48" spans="11:26" ht="6.75" customHeight="1">
      <c r="K48" s="41"/>
      <c r="L48" s="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1"/>
    </row>
    <row r="49" spans="11:26" ht="12" thickBot="1">
      <c r="K49" s="43" t="s">
        <v>45</v>
      </c>
      <c r="L49" s="4"/>
      <c r="M49" s="55">
        <f aca="true" t="shared" si="5" ref="M49:Y49">SUBTOTAL(9,M45:M48)</f>
        <v>100</v>
      </c>
      <c r="N49" s="55">
        <f t="shared" si="5"/>
        <v>100</v>
      </c>
      <c r="O49" s="55">
        <f t="shared" si="5"/>
        <v>100</v>
      </c>
      <c r="P49" s="55">
        <f t="shared" si="5"/>
        <v>2400</v>
      </c>
      <c r="Q49" s="55">
        <f t="shared" si="5"/>
        <v>100</v>
      </c>
      <c r="R49" s="55">
        <f t="shared" si="5"/>
        <v>100</v>
      </c>
      <c r="S49" s="55">
        <f t="shared" si="5"/>
        <v>100</v>
      </c>
      <c r="T49" s="55">
        <f t="shared" si="5"/>
        <v>100</v>
      </c>
      <c r="U49" s="55">
        <f t="shared" si="5"/>
        <v>100</v>
      </c>
      <c r="V49" s="55">
        <f t="shared" si="5"/>
        <v>0</v>
      </c>
      <c r="W49" s="55">
        <f t="shared" si="5"/>
        <v>0</v>
      </c>
      <c r="X49" s="55">
        <f t="shared" si="5"/>
        <v>0</v>
      </c>
      <c r="Y49" s="55">
        <f t="shared" si="5"/>
        <v>3200</v>
      </c>
      <c r="Z49" s="1"/>
    </row>
    <row r="50" spans="11:26" ht="6.75" customHeight="1" outlineLevel="2" thickTop="1">
      <c r="K50" s="36"/>
      <c r="L50" s="4"/>
      <c r="M50" s="6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</row>
    <row r="51" spans="11:26" ht="12" outlineLevel="1" thickBot="1">
      <c r="K51" s="45" t="s">
        <v>45</v>
      </c>
      <c r="L51" s="4"/>
      <c r="M51" s="55">
        <f aca="true" t="shared" si="6" ref="M51:Y51">SUBTOTAL(9,M38:M50)</f>
        <v>517.8</v>
      </c>
      <c r="N51" s="55">
        <f t="shared" si="6"/>
        <v>510.8</v>
      </c>
      <c r="O51" s="55">
        <f t="shared" si="6"/>
        <v>510.8</v>
      </c>
      <c r="P51" s="55">
        <f t="shared" si="6"/>
        <v>2810.8</v>
      </c>
      <c r="Q51" s="55">
        <f t="shared" si="6"/>
        <v>510.8</v>
      </c>
      <c r="R51" s="55">
        <f t="shared" si="6"/>
        <v>510.8</v>
      </c>
      <c r="S51" s="55">
        <f t="shared" si="6"/>
        <v>510.8</v>
      </c>
      <c r="T51" s="55">
        <f t="shared" si="6"/>
        <v>510.8</v>
      </c>
      <c r="U51" s="55">
        <f t="shared" si="6"/>
        <v>510.8</v>
      </c>
      <c r="V51" s="55">
        <f t="shared" si="6"/>
        <v>0</v>
      </c>
      <c r="W51" s="55">
        <f t="shared" si="6"/>
        <v>0</v>
      </c>
      <c r="X51" s="55">
        <f t="shared" si="6"/>
        <v>0</v>
      </c>
      <c r="Y51" s="55">
        <f t="shared" si="6"/>
        <v>6904.200000000001</v>
      </c>
      <c r="Z51" s="1"/>
    </row>
    <row r="52" spans="11:26" ht="6.75" customHeight="1" thickTop="1">
      <c r="K52" s="3"/>
      <c r="L52" s="4"/>
      <c r="M52" s="6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"/>
    </row>
    <row r="53" spans="11:26" ht="12" thickBot="1">
      <c r="K53" s="46" t="s">
        <v>46</v>
      </c>
      <c r="L53" s="4"/>
      <c r="M53" s="55">
        <f aca="true" t="shared" si="7" ref="M53:Y53">SUBTOTAL(9,M15:M52)</f>
        <v>6928.45</v>
      </c>
      <c r="N53" s="55">
        <f t="shared" si="7"/>
        <v>6947.45</v>
      </c>
      <c r="O53" s="55">
        <f t="shared" si="7"/>
        <v>6964.35</v>
      </c>
      <c r="P53" s="55">
        <f t="shared" si="7"/>
        <v>9285.15</v>
      </c>
      <c r="Q53" s="55">
        <f t="shared" si="7"/>
        <v>6955.25</v>
      </c>
      <c r="R53" s="55">
        <f t="shared" si="7"/>
        <v>6869.45</v>
      </c>
      <c r="S53" s="55">
        <f t="shared" si="7"/>
        <v>6841.55</v>
      </c>
      <c r="T53" s="55">
        <f t="shared" si="7"/>
        <v>6838.95</v>
      </c>
      <c r="U53" s="55">
        <f t="shared" si="7"/>
        <v>6837.65</v>
      </c>
      <c r="V53" s="55">
        <f t="shared" si="7"/>
        <v>0</v>
      </c>
      <c r="W53" s="55">
        <f t="shared" si="7"/>
        <v>0</v>
      </c>
      <c r="X53" s="55">
        <f t="shared" si="7"/>
        <v>0</v>
      </c>
      <c r="Y53" s="55">
        <f t="shared" si="7"/>
        <v>64468.25000000001</v>
      </c>
      <c r="Z53" s="1"/>
    </row>
    <row r="54" spans="11:26" ht="6" customHeight="1" thickBot="1" thickTop="1">
      <c r="K54" s="5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2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&amp;L&amp;D &amp;T&amp;C&amp;Z&amp;F&amp;R&amp;P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K11:Z54"/>
  <sheetViews>
    <sheetView showOutlineSymbols="0" zoomScalePageLayoutView="0" workbookViewId="0" topLeftCell="K11">
      <pane xSplit="1" ySplit="4" topLeftCell="T24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K28" sqref="K28:K29"/>
    </sheetView>
  </sheetViews>
  <sheetFormatPr defaultColWidth="9.33203125" defaultRowHeight="11.25" outlineLevelRow="3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35" t="s">
        <v>92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1:26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1:26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spans="11:26" ht="12" thickBot="1">
      <c r="K14" s="33"/>
      <c r="L14" s="32"/>
      <c r="M14" s="52" t="s">
        <v>151</v>
      </c>
      <c r="N14" s="52" t="s">
        <v>152</v>
      </c>
      <c r="O14" s="52" t="s">
        <v>153</v>
      </c>
      <c r="P14" s="52" t="s">
        <v>154</v>
      </c>
      <c r="Q14" s="52" t="s">
        <v>155</v>
      </c>
      <c r="R14" s="52" t="s">
        <v>156</v>
      </c>
      <c r="S14" s="52" t="s">
        <v>157</v>
      </c>
      <c r="T14" s="52" t="s">
        <v>158</v>
      </c>
      <c r="U14" s="52" t="s">
        <v>159</v>
      </c>
      <c r="V14" s="52" t="s">
        <v>160</v>
      </c>
      <c r="W14" s="52" t="s">
        <v>161</v>
      </c>
      <c r="X14" s="52" t="s">
        <v>162</v>
      </c>
      <c r="Y14" s="67" t="s">
        <v>163</v>
      </c>
      <c r="Z14" s="34"/>
    </row>
    <row r="15" spans="11:26" ht="6" customHeight="1">
      <c r="K15" s="6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3"/>
    </row>
    <row r="16" spans="11:26" ht="11.25">
      <c r="K16" s="37" t="s">
        <v>77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 outlineLevel="3">
      <c r="K17" s="38" t="s">
        <v>64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3">
      <c r="K18" s="43" t="s">
        <v>60</v>
      </c>
      <c r="L18" s="4"/>
      <c r="M18" s="39">
        <v>3290</v>
      </c>
      <c r="N18" s="39">
        <v>3290</v>
      </c>
      <c r="O18" s="39">
        <v>3290</v>
      </c>
      <c r="P18" s="39">
        <v>3290</v>
      </c>
      <c r="Q18" s="39">
        <v>3290</v>
      </c>
      <c r="R18" s="39">
        <v>3290</v>
      </c>
      <c r="S18" s="39">
        <v>3290</v>
      </c>
      <c r="T18" s="39">
        <v>3290</v>
      </c>
      <c r="U18" s="39">
        <v>3290</v>
      </c>
      <c r="V18" s="39">
        <v>0</v>
      </c>
      <c r="W18" s="39">
        <v>0</v>
      </c>
      <c r="X18" s="39">
        <v>0</v>
      </c>
      <c r="Y18" s="40">
        <f>SUM(M18:X18)</f>
        <v>29610</v>
      </c>
      <c r="Z18" s="1"/>
    </row>
    <row r="19" spans="11:26" ht="11.25" outlineLevel="3">
      <c r="K19" s="43" t="s">
        <v>61</v>
      </c>
      <c r="L19" s="4"/>
      <c r="M19" s="39">
        <v>220</v>
      </c>
      <c r="N19" s="39">
        <v>220</v>
      </c>
      <c r="O19" s="39">
        <v>220</v>
      </c>
      <c r="P19" s="39">
        <v>220</v>
      </c>
      <c r="Q19" s="39">
        <v>220</v>
      </c>
      <c r="R19" s="39">
        <v>220</v>
      </c>
      <c r="S19" s="39">
        <v>235</v>
      </c>
      <c r="T19" s="39">
        <v>235</v>
      </c>
      <c r="U19" s="39">
        <v>235</v>
      </c>
      <c r="V19" s="39">
        <v>0</v>
      </c>
      <c r="W19" s="39">
        <v>0</v>
      </c>
      <c r="X19" s="39">
        <v>0</v>
      </c>
      <c r="Y19" s="40">
        <f>SUM(M19:X19)</f>
        <v>2025</v>
      </c>
      <c r="Z19" s="1"/>
    </row>
    <row r="20" spans="11:26" ht="11.25" outlineLevel="3">
      <c r="K20" s="43" t="s">
        <v>62</v>
      </c>
      <c r="L20" s="4"/>
      <c r="M20" s="39">
        <v>185</v>
      </c>
      <c r="N20" s="39">
        <v>185</v>
      </c>
      <c r="O20" s="39">
        <v>185</v>
      </c>
      <c r="P20" s="39">
        <v>185</v>
      </c>
      <c r="Q20" s="39">
        <v>185</v>
      </c>
      <c r="R20" s="39">
        <v>185</v>
      </c>
      <c r="S20" s="39">
        <v>185</v>
      </c>
      <c r="T20" s="39">
        <v>185</v>
      </c>
      <c r="U20" s="39">
        <v>185</v>
      </c>
      <c r="V20" s="39">
        <v>0</v>
      </c>
      <c r="W20" s="39">
        <v>0</v>
      </c>
      <c r="X20" s="39">
        <v>0</v>
      </c>
      <c r="Y20" s="40">
        <f>SUM(M20:X20)</f>
        <v>1665</v>
      </c>
      <c r="Z20" s="1"/>
    </row>
    <row r="21" spans="11:26" ht="11.25" outlineLevel="3">
      <c r="K21" s="43" t="s">
        <v>63</v>
      </c>
      <c r="L21" s="4"/>
      <c r="M21" s="39">
        <v>31</v>
      </c>
      <c r="N21" s="39">
        <v>31</v>
      </c>
      <c r="O21" s="39">
        <v>31</v>
      </c>
      <c r="P21" s="39">
        <v>31</v>
      </c>
      <c r="Q21" s="39">
        <v>31</v>
      </c>
      <c r="R21" s="39">
        <v>31</v>
      </c>
      <c r="S21" s="39">
        <v>31</v>
      </c>
      <c r="T21" s="39">
        <v>31</v>
      </c>
      <c r="U21" s="39">
        <v>31</v>
      </c>
      <c r="V21" s="39">
        <v>0</v>
      </c>
      <c r="W21" s="39">
        <v>0</v>
      </c>
      <c r="X21" s="39">
        <v>0</v>
      </c>
      <c r="Y21" s="40">
        <f>SUM(M21:X21)</f>
        <v>279</v>
      </c>
      <c r="Z21" s="1"/>
    </row>
    <row r="22" spans="11:26" ht="6.75" customHeight="1" outlineLevel="3">
      <c r="K22" s="41"/>
      <c r="L22" s="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1"/>
    </row>
    <row r="23" spans="11:26" ht="12" outlineLevel="2" thickBot="1">
      <c r="K23" s="43" t="s">
        <v>45</v>
      </c>
      <c r="L23" s="4"/>
      <c r="M23" s="55">
        <f aca="true" t="shared" si="0" ref="M23:Y23">SUBTOTAL(9,M17:M22)</f>
        <v>3726</v>
      </c>
      <c r="N23" s="55">
        <f t="shared" si="0"/>
        <v>3726</v>
      </c>
      <c r="O23" s="55">
        <f t="shared" si="0"/>
        <v>3726</v>
      </c>
      <c r="P23" s="55">
        <f t="shared" si="0"/>
        <v>3726</v>
      </c>
      <c r="Q23" s="55">
        <f t="shared" si="0"/>
        <v>3726</v>
      </c>
      <c r="R23" s="55">
        <f t="shared" si="0"/>
        <v>3726</v>
      </c>
      <c r="S23" s="55">
        <f t="shared" si="0"/>
        <v>3741</v>
      </c>
      <c r="T23" s="55">
        <f t="shared" si="0"/>
        <v>3741</v>
      </c>
      <c r="U23" s="55">
        <f t="shared" si="0"/>
        <v>3741</v>
      </c>
      <c r="V23" s="55">
        <f t="shared" si="0"/>
        <v>0</v>
      </c>
      <c r="W23" s="55">
        <f t="shared" si="0"/>
        <v>0</v>
      </c>
      <c r="X23" s="55">
        <f t="shared" si="0"/>
        <v>0</v>
      </c>
      <c r="Y23" s="55">
        <f t="shared" si="0"/>
        <v>33579</v>
      </c>
      <c r="Z23" s="1"/>
    </row>
    <row r="24" spans="11:26" ht="12" outlineLevel="3" thickTop="1">
      <c r="K24" s="38" t="s">
        <v>68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 outlineLevel="3">
      <c r="K25" s="43" t="s">
        <v>65</v>
      </c>
      <c r="L25" s="4"/>
      <c r="M25" s="39">
        <v>198</v>
      </c>
      <c r="N25" s="39">
        <v>210</v>
      </c>
      <c r="O25" s="39">
        <v>230</v>
      </c>
      <c r="P25" s="39">
        <v>250</v>
      </c>
      <c r="Q25" s="39">
        <v>235</v>
      </c>
      <c r="R25" s="39">
        <v>209</v>
      </c>
      <c r="S25" s="39">
        <v>201</v>
      </c>
      <c r="T25" s="39">
        <v>198</v>
      </c>
      <c r="U25" s="39">
        <v>189</v>
      </c>
      <c r="V25" s="39">
        <v>0</v>
      </c>
      <c r="W25" s="39">
        <v>0</v>
      </c>
      <c r="X25" s="39">
        <v>0</v>
      </c>
      <c r="Y25" s="40">
        <f>SUM(M25:X25)</f>
        <v>1920</v>
      </c>
      <c r="Z25" s="1"/>
    </row>
    <row r="26" spans="11:26" ht="11.25" outlineLevel="3">
      <c r="K26" s="43" t="s">
        <v>66</v>
      </c>
      <c r="L26" s="4"/>
      <c r="M26" s="39">
        <v>166.5</v>
      </c>
      <c r="N26" s="39">
        <v>166.5</v>
      </c>
      <c r="O26" s="39">
        <v>166.5</v>
      </c>
      <c r="P26" s="39">
        <v>166.5</v>
      </c>
      <c r="Q26" s="39">
        <v>166.5</v>
      </c>
      <c r="R26" s="39">
        <v>166.5</v>
      </c>
      <c r="S26" s="39">
        <v>166.5</v>
      </c>
      <c r="T26" s="39">
        <v>166.5</v>
      </c>
      <c r="U26" s="39">
        <v>166.5</v>
      </c>
      <c r="V26" s="39">
        <v>0</v>
      </c>
      <c r="W26" s="39">
        <v>0</v>
      </c>
      <c r="X26" s="39">
        <v>0</v>
      </c>
      <c r="Y26" s="40">
        <f>SUM(M26:X26)</f>
        <v>1498.5</v>
      </c>
      <c r="Z26" s="1"/>
    </row>
    <row r="27" spans="11:26" ht="11.25" outlineLevel="3">
      <c r="K27" s="43" t="s">
        <v>67</v>
      </c>
      <c r="L27" s="4"/>
      <c r="M27" s="39">
        <v>101</v>
      </c>
      <c r="N27" s="39">
        <v>109</v>
      </c>
      <c r="O27" s="39">
        <v>102</v>
      </c>
      <c r="P27" s="39">
        <v>98</v>
      </c>
      <c r="Q27" s="39">
        <v>90</v>
      </c>
      <c r="R27" s="39">
        <v>50</v>
      </c>
      <c r="S27" s="39">
        <v>25</v>
      </c>
      <c r="T27" s="39">
        <v>26</v>
      </c>
      <c r="U27" s="39">
        <v>34</v>
      </c>
      <c r="V27" s="39">
        <v>0</v>
      </c>
      <c r="W27" s="39">
        <v>0</v>
      </c>
      <c r="X27" s="39">
        <v>0</v>
      </c>
      <c r="Y27" s="40">
        <f>SUM(M27:X27)</f>
        <v>635</v>
      </c>
      <c r="Z27" s="1"/>
    </row>
    <row r="28" spans="11:26" ht="6.75" customHeight="1" outlineLevel="3">
      <c r="K28" s="41"/>
      <c r="L28" s="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1"/>
    </row>
    <row r="29" spans="11:26" ht="12" outlineLevel="2" thickBot="1">
      <c r="K29" s="43" t="s">
        <v>45</v>
      </c>
      <c r="L29" s="4"/>
      <c r="M29" s="55">
        <f>SUBTOTAL(9,M24:M28)</f>
        <v>465.5</v>
      </c>
      <c r="N29" s="55">
        <f>SUBTOTAL(9,N24:N28)</f>
        <v>485.5</v>
      </c>
      <c r="O29" s="55">
        <f>SUBTOTAL(9,O24:O28)</f>
        <v>498.5</v>
      </c>
      <c r="P29" s="55">
        <f>SUBTOTAL(9,P24:P28)</f>
        <v>514.5</v>
      </c>
      <c r="Q29" s="55">
        <f>SUBTOTAL(9,Q24:Q28)</f>
        <v>491.5</v>
      </c>
      <c r="R29" s="55">
        <f>SUBTOTAL(9,R24:R28)</f>
        <v>425.5</v>
      </c>
      <c r="S29" s="55">
        <f>SUBTOTAL(9,S24:S28)</f>
        <v>392.5</v>
      </c>
      <c r="T29" s="55">
        <f>SUBTOTAL(9,T24:T28)</f>
        <v>390.5</v>
      </c>
      <c r="U29" s="55">
        <f>SUBTOTAL(9,U24:U28)</f>
        <v>389.5</v>
      </c>
      <c r="V29" s="55">
        <f>SUBTOTAL(9,V24:V28)</f>
        <v>0</v>
      </c>
      <c r="W29" s="55">
        <f>SUBTOTAL(9,W24:W28)</f>
        <v>0</v>
      </c>
      <c r="X29" s="55">
        <f>SUBTOTAL(9,X24:X28)</f>
        <v>0</v>
      </c>
      <c r="Y29" s="55">
        <f>SUBTOTAL(9,Y24:Y28)</f>
        <v>4053.5</v>
      </c>
      <c r="Z29" s="1"/>
    </row>
    <row r="30" spans="11:26" ht="12" outlineLevel="3" thickTop="1">
      <c r="K30" s="38" t="s">
        <v>78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 outlineLevel="3">
      <c r="K31" s="43" t="s">
        <v>73</v>
      </c>
      <c r="L31" s="4"/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39">
        <v>100</v>
      </c>
      <c r="T31" s="39">
        <v>100</v>
      </c>
      <c r="U31" s="39">
        <v>100</v>
      </c>
      <c r="V31" s="39">
        <v>0</v>
      </c>
      <c r="W31" s="39">
        <v>0</v>
      </c>
      <c r="X31" s="39">
        <v>0</v>
      </c>
      <c r="Y31" s="40">
        <f>SUM(M31:X31)</f>
        <v>900</v>
      </c>
      <c r="Z31" s="1"/>
    </row>
    <row r="32" spans="11:26" ht="11.25" outlineLevel="3">
      <c r="K32" s="43" t="s">
        <v>96</v>
      </c>
      <c r="L32" s="4"/>
      <c r="M32" s="39">
        <v>65</v>
      </c>
      <c r="N32" s="39">
        <v>65</v>
      </c>
      <c r="O32" s="39">
        <v>65</v>
      </c>
      <c r="P32" s="39">
        <v>65</v>
      </c>
      <c r="Q32" s="39">
        <v>65</v>
      </c>
      <c r="R32" s="39">
        <v>65</v>
      </c>
      <c r="S32" s="39">
        <v>65</v>
      </c>
      <c r="T32" s="39">
        <v>65</v>
      </c>
      <c r="U32" s="39">
        <v>65</v>
      </c>
      <c r="V32" s="39">
        <v>0</v>
      </c>
      <c r="W32" s="39">
        <v>0</v>
      </c>
      <c r="X32" s="39">
        <v>0</v>
      </c>
      <c r="Y32" s="40">
        <f>SUM(M32:X32)</f>
        <v>585</v>
      </c>
      <c r="Z32" s="1"/>
    </row>
    <row r="33" spans="11:26" ht="11.25" outlineLevel="3">
      <c r="K33" s="43" t="s">
        <v>76</v>
      </c>
      <c r="L33" s="4"/>
      <c r="M33" s="39">
        <v>35</v>
      </c>
      <c r="N33" s="39">
        <v>35</v>
      </c>
      <c r="O33" s="39">
        <v>35</v>
      </c>
      <c r="P33" s="39">
        <v>35</v>
      </c>
      <c r="Q33" s="39">
        <v>35</v>
      </c>
      <c r="R33" s="39">
        <v>35</v>
      </c>
      <c r="S33" s="39">
        <v>35</v>
      </c>
      <c r="T33" s="39">
        <v>35</v>
      </c>
      <c r="U33" s="39">
        <v>35</v>
      </c>
      <c r="V33" s="39">
        <v>0</v>
      </c>
      <c r="W33" s="39">
        <v>0</v>
      </c>
      <c r="X33" s="39">
        <v>0</v>
      </c>
      <c r="Y33" s="40">
        <f>SUM(M33:X33)</f>
        <v>315</v>
      </c>
      <c r="Z33" s="1"/>
    </row>
    <row r="34" spans="11:26" ht="6.75" customHeight="1" outlineLevel="3">
      <c r="K34" s="41"/>
      <c r="L34" s="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1"/>
    </row>
    <row r="35" spans="11:26" ht="12" outlineLevel="2" thickBot="1">
      <c r="K35" s="43" t="s">
        <v>45</v>
      </c>
      <c r="L35" s="4"/>
      <c r="M35" s="55">
        <f>SUBTOTAL(9,M30:M34)</f>
        <v>200</v>
      </c>
      <c r="N35" s="55">
        <f>SUBTOTAL(9,N30:N34)</f>
        <v>200</v>
      </c>
      <c r="O35" s="55">
        <f>SUBTOTAL(9,O30:O34)</f>
        <v>200</v>
      </c>
      <c r="P35" s="55">
        <f>SUBTOTAL(9,P30:P34)</f>
        <v>200</v>
      </c>
      <c r="Q35" s="55">
        <f>SUBTOTAL(9,Q30:Q34)</f>
        <v>200</v>
      </c>
      <c r="R35" s="55">
        <f>SUBTOTAL(9,R30:R34)</f>
        <v>200</v>
      </c>
      <c r="S35" s="55">
        <f>SUBTOTAL(9,S30:S34)</f>
        <v>200</v>
      </c>
      <c r="T35" s="55">
        <f>SUBTOTAL(9,T30:T34)</f>
        <v>200</v>
      </c>
      <c r="U35" s="55">
        <f>SUBTOTAL(9,U30:U34)</f>
        <v>200</v>
      </c>
      <c r="V35" s="55">
        <f>SUBTOTAL(9,V30:V34)</f>
        <v>0</v>
      </c>
      <c r="W35" s="55">
        <f>SUBTOTAL(9,W30:W34)</f>
        <v>0</v>
      </c>
      <c r="X35" s="55">
        <f>SUBTOTAL(9,X30:X34)</f>
        <v>0</v>
      </c>
      <c r="Y35" s="55">
        <f>SUBTOTAL(9,Y30:Y34)</f>
        <v>1800</v>
      </c>
      <c r="Z35" s="1"/>
    </row>
    <row r="36" spans="11:26" ht="6.75" customHeight="1" outlineLevel="2" thickTop="1">
      <c r="K36" s="36"/>
      <c r="L36" s="4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"/>
    </row>
    <row r="37" spans="11:26" ht="12" outlineLevel="1" thickBot="1">
      <c r="K37" s="54" t="s">
        <v>45</v>
      </c>
      <c r="L37" s="4"/>
      <c r="M37" s="55">
        <f>SUBTOTAL(9,M16:M36)</f>
        <v>4391.5</v>
      </c>
      <c r="N37" s="55">
        <f>SUBTOTAL(9,N16:N36)</f>
        <v>4411.5</v>
      </c>
      <c r="O37" s="55">
        <f>SUBTOTAL(9,O16:O36)</f>
        <v>4424.5</v>
      </c>
      <c r="P37" s="55">
        <f>SUBTOTAL(9,P16:P36)</f>
        <v>4440.5</v>
      </c>
      <c r="Q37" s="55">
        <f>SUBTOTAL(9,Q16:Q36)</f>
        <v>4417.5</v>
      </c>
      <c r="R37" s="55">
        <f>SUBTOTAL(9,R16:R36)</f>
        <v>4351.5</v>
      </c>
      <c r="S37" s="55">
        <f>SUBTOTAL(9,S16:S36)</f>
        <v>4333.5</v>
      </c>
      <c r="T37" s="55">
        <f>SUBTOTAL(9,T16:T36)</f>
        <v>4331.5</v>
      </c>
      <c r="U37" s="55">
        <f>SUBTOTAL(9,U16:U36)</f>
        <v>4330.5</v>
      </c>
      <c r="V37" s="55">
        <f>SUBTOTAL(9,V16:V36)</f>
        <v>0</v>
      </c>
      <c r="W37" s="55">
        <f>SUBTOTAL(9,W16:W36)</f>
        <v>0</v>
      </c>
      <c r="X37" s="55">
        <f>SUBTOTAL(9,X16:X36)</f>
        <v>0</v>
      </c>
      <c r="Y37" s="55">
        <f>SUBTOTAL(9,Y16:Y36)</f>
        <v>39432.5</v>
      </c>
      <c r="Z37" s="1"/>
    </row>
    <row r="38" spans="11:26" ht="12" outlineLevel="1" thickTop="1">
      <c r="K38" s="37" t="s">
        <v>79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1:26" ht="11.25" outlineLevel="3">
      <c r="K39" s="38" t="s">
        <v>72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1:26" ht="11.25" outlineLevel="3">
      <c r="K40" s="43" t="s">
        <v>69</v>
      </c>
      <c r="L40" s="4"/>
      <c r="M40" s="39">
        <v>120</v>
      </c>
      <c r="N40" s="39">
        <v>120</v>
      </c>
      <c r="O40" s="39">
        <v>120</v>
      </c>
      <c r="P40" s="39">
        <v>120</v>
      </c>
      <c r="Q40" s="39">
        <v>120</v>
      </c>
      <c r="R40" s="39">
        <v>120</v>
      </c>
      <c r="S40" s="39">
        <v>120</v>
      </c>
      <c r="T40" s="39">
        <v>120</v>
      </c>
      <c r="U40" s="39">
        <v>120</v>
      </c>
      <c r="V40" s="39">
        <v>0</v>
      </c>
      <c r="W40" s="39">
        <v>0</v>
      </c>
      <c r="X40" s="39">
        <v>0</v>
      </c>
      <c r="Y40" s="40">
        <f>SUM(M40:X40)</f>
        <v>1080</v>
      </c>
      <c r="Z40" s="1"/>
    </row>
    <row r="41" spans="11:26" ht="11.25" outlineLevel="3">
      <c r="K41" s="43" t="s">
        <v>70</v>
      </c>
      <c r="L41" s="4"/>
      <c r="M41" s="39">
        <v>92</v>
      </c>
      <c r="N41" s="39">
        <v>92</v>
      </c>
      <c r="O41" s="39">
        <v>92</v>
      </c>
      <c r="P41" s="39">
        <v>92</v>
      </c>
      <c r="Q41" s="39">
        <v>92</v>
      </c>
      <c r="R41" s="39">
        <v>92</v>
      </c>
      <c r="S41" s="39">
        <v>92</v>
      </c>
      <c r="T41" s="39">
        <v>92</v>
      </c>
      <c r="U41" s="39">
        <v>92</v>
      </c>
      <c r="V41" s="39">
        <v>0</v>
      </c>
      <c r="W41" s="39">
        <v>0</v>
      </c>
      <c r="X41" s="39">
        <v>0</v>
      </c>
      <c r="Y41" s="40">
        <f>SUM(M41:X41)</f>
        <v>828</v>
      </c>
      <c r="Z41" s="1"/>
    </row>
    <row r="42" spans="11:26" ht="11.25" outlineLevel="3">
      <c r="K42" s="43" t="s">
        <v>71</v>
      </c>
      <c r="L42" s="4"/>
      <c r="M42" s="39">
        <v>111</v>
      </c>
      <c r="N42" s="39">
        <v>104</v>
      </c>
      <c r="O42" s="39">
        <v>104</v>
      </c>
      <c r="P42" s="39">
        <v>104</v>
      </c>
      <c r="Q42" s="39">
        <v>104</v>
      </c>
      <c r="R42" s="39">
        <v>104</v>
      </c>
      <c r="S42" s="39">
        <v>104</v>
      </c>
      <c r="T42" s="39">
        <v>104</v>
      </c>
      <c r="U42" s="39">
        <v>104</v>
      </c>
      <c r="V42" s="39">
        <v>0</v>
      </c>
      <c r="W42" s="39">
        <v>0</v>
      </c>
      <c r="X42" s="39">
        <v>0</v>
      </c>
      <c r="Y42" s="40">
        <f>SUM(M42:X42)</f>
        <v>943</v>
      </c>
      <c r="Z42" s="1"/>
    </row>
    <row r="43" spans="11:26" ht="6.75" customHeight="1" outlineLevel="3">
      <c r="K43" s="41"/>
      <c r="L43" s="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"/>
    </row>
    <row r="44" spans="11:26" ht="12" outlineLevel="2" thickBot="1">
      <c r="K44" s="43" t="s">
        <v>45</v>
      </c>
      <c r="L44" s="4"/>
      <c r="M44" s="55">
        <f aca="true" t="shared" si="1" ref="M44:Y44">SUBTOTAL(9,M39:M43)</f>
        <v>323</v>
      </c>
      <c r="N44" s="55">
        <f t="shared" si="1"/>
        <v>316</v>
      </c>
      <c r="O44" s="55">
        <f t="shared" si="1"/>
        <v>316</v>
      </c>
      <c r="P44" s="55">
        <f t="shared" si="1"/>
        <v>316</v>
      </c>
      <c r="Q44" s="55">
        <f t="shared" si="1"/>
        <v>316</v>
      </c>
      <c r="R44" s="55">
        <f t="shared" si="1"/>
        <v>316</v>
      </c>
      <c r="S44" s="55">
        <f t="shared" si="1"/>
        <v>316</v>
      </c>
      <c r="T44" s="55">
        <f t="shared" si="1"/>
        <v>316</v>
      </c>
      <c r="U44" s="55">
        <f t="shared" si="1"/>
        <v>316</v>
      </c>
      <c r="V44" s="55">
        <f t="shared" si="1"/>
        <v>0</v>
      </c>
      <c r="W44" s="55">
        <f t="shared" si="1"/>
        <v>0</v>
      </c>
      <c r="X44" s="55">
        <f t="shared" si="1"/>
        <v>0</v>
      </c>
      <c r="Y44" s="55">
        <f t="shared" si="1"/>
        <v>2851</v>
      </c>
      <c r="Z44" s="1"/>
    </row>
    <row r="45" spans="11:26" ht="12" thickTop="1">
      <c r="K45" s="38" t="s">
        <v>80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</row>
    <row r="46" spans="11:26" ht="11.25">
      <c r="K46" s="43" t="s">
        <v>74</v>
      </c>
      <c r="L46" s="4"/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40">
        <f>SUM(M46:X46)</f>
        <v>0</v>
      </c>
      <c r="Z46" s="1"/>
    </row>
    <row r="47" spans="11:26" ht="11.25">
      <c r="K47" s="43" t="s">
        <v>75</v>
      </c>
      <c r="L47" s="4"/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40">
        <f>SUM(M47:X47)</f>
        <v>0</v>
      </c>
      <c r="Z47" s="1"/>
    </row>
    <row r="48" spans="11:26" ht="6.75" customHeight="1">
      <c r="K48" s="41"/>
      <c r="L48" s="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1"/>
    </row>
    <row r="49" spans="11:26" ht="12" thickBot="1">
      <c r="K49" s="43" t="s">
        <v>45</v>
      </c>
      <c r="L49" s="4"/>
      <c r="M49" s="55">
        <f aca="true" t="shared" si="2" ref="M49:Y49">SUBTOTAL(9,M45:M48)</f>
        <v>0</v>
      </c>
      <c r="N49" s="55">
        <f t="shared" si="2"/>
        <v>0</v>
      </c>
      <c r="O49" s="55">
        <f t="shared" si="2"/>
        <v>0</v>
      </c>
      <c r="P49" s="55">
        <f t="shared" si="2"/>
        <v>0</v>
      </c>
      <c r="Q49" s="55">
        <f t="shared" si="2"/>
        <v>0</v>
      </c>
      <c r="R49" s="55">
        <f t="shared" si="2"/>
        <v>0</v>
      </c>
      <c r="S49" s="55">
        <f t="shared" si="2"/>
        <v>0</v>
      </c>
      <c r="T49" s="55">
        <f t="shared" si="2"/>
        <v>0</v>
      </c>
      <c r="U49" s="55">
        <f t="shared" si="2"/>
        <v>0</v>
      </c>
      <c r="V49" s="55">
        <f t="shared" si="2"/>
        <v>0</v>
      </c>
      <c r="W49" s="55">
        <f t="shared" si="2"/>
        <v>0</v>
      </c>
      <c r="X49" s="55">
        <f t="shared" si="2"/>
        <v>0</v>
      </c>
      <c r="Y49" s="55">
        <f t="shared" si="2"/>
        <v>0</v>
      </c>
      <c r="Z49" s="1"/>
    </row>
    <row r="50" spans="11:26" ht="6.75" customHeight="1" outlineLevel="2" thickTop="1">
      <c r="K50" s="36"/>
      <c r="L50" s="4"/>
      <c r="M50" s="6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</row>
    <row r="51" spans="11:26" ht="12" outlineLevel="1" thickBot="1">
      <c r="K51" s="45" t="s">
        <v>45</v>
      </c>
      <c r="L51" s="4"/>
      <c r="M51" s="55">
        <f aca="true" t="shared" si="3" ref="M51:Y51">SUBTOTAL(9,M38:M50)</f>
        <v>323</v>
      </c>
      <c r="N51" s="55">
        <f t="shared" si="3"/>
        <v>316</v>
      </c>
      <c r="O51" s="55">
        <f t="shared" si="3"/>
        <v>316</v>
      </c>
      <c r="P51" s="55">
        <f t="shared" si="3"/>
        <v>316</v>
      </c>
      <c r="Q51" s="55">
        <f t="shared" si="3"/>
        <v>316</v>
      </c>
      <c r="R51" s="55">
        <f t="shared" si="3"/>
        <v>316</v>
      </c>
      <c r="S51" s="55">
        <f t="shared" si="3"/>
        <v>316</v>
      </c>
      <c r="T51" s="55">
        <f t="shared" si="3"/>
        <v>316</v>
      </c>
      <c r="U51" s="55">
        <f t="shared" si="3"/>
        <v>316</v>
      </c>
      <c r="V51" s="55">
        <f t="shared" si="3"/>
        <v>0</v>
      </c>
      <c r="W51" s="55">
        <f t="shared" si="3"/>
        <v>0</v>
      </c>
      <c r="X51" s="55">
        <f t="shared" si="3"/>
        <v>0</v>
      </c>
      <c r="Y51" s="55">
        <f t="shared" si="3"/>
        <v>2851</v>
      </c>
      <c r="Z51" s="1"/>
    </row>
    <row r="52" spans="11:26" ht="6.75" customHeight="1" thickTop="1">
      <c r="K52" s="3"/>
      <c r="L52" s="4"/>
      <c r="M52" s="6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"/>
    </row>
    <row r="53" spans="11:26" ht="12" thickBot="1">
      <c r="K53" s="46" t="s">
        <v>46</v>
      </c>
      <c r="L53" s="4"/>
      <c r="M53" s="55">
        <f aca="true" t="shared" si="4" ref="M53:Y53">SUBTOTAL(9,M15:M52)</f>
        <v>4714.5</v>
      </c>
      <c r="N53" s="55">
        <f t="shared" si="4"/>
        <v>4727.5</v>
      </c>
      <c r="O53" s="55">
        <f t="shared" si="4"/>
        <v>4740.5</v>
      </c>
      <c r="P53" s="55">
        <f t="shared" si="4"/>
        <v>4756.5</v>
      </c>
      <c r="Q53" s="55">
        <f t="shared" si="4"/>
        <v>4733.5</v>
      </c>
      <c r="R53" s="55">
        <f t="shared" si="4"/>
        <v>4667.5</v>
      </c>
      <c r="S53" s="55">
        <f t="shared" si="4"/>
        <v>4649.5</v>
      </c>
      <c r="T53" s="55">
        <f t="shared" si="4"/>
        <v>4647.5</v>
      </c>
      <c r="U53" s="55">
        <f t="shared" si="4"/>
        <v>4646.5</v>
      </c>
      <c r="V53" s="55">
        <f t="shared" si="4"/>
        <v>0</v>
      </c>
      <c r="W53" s="55">
        <f t="shared" si="4"/>
        <v>0</v>
      </c>
      <c r="X53" s="55">
        <f t="shared" si="4"/>
        <v>0</v>
      </c>
      <c r="Y53" s="55">
        <f t="shared" si="4"/>
        <v>42283.5</v>
      </c>
      <c r="Z53" s="1"/>
    </row>
    <row r="54" spans="11:26" ht="6" customHeight="1" thickBot="1" thickTop="1">
      <c r="K54" s="5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2"/>
    </row>
  </sheetData>
  <sheetProtection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4"/>
  <headerFooter alignWithMargins="0">
    <oddFooter>&amp;L&amp;D &amp;T&amp;C&amp;Z&amp;F&amp;R&amp;P of 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AC54"/>
  <sheetViews>
    <sheetView showOutlineSymbols="0" zoomScalePageLayoutView="0" workbookViewId="0" topLeftCell="K11">
      <pane xSplit="1" ySplit="4" topLeftCell="M1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T53" sqref="T53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8.83203125" style="0" bestFit="1" customWidth="1"/>
    <col min="27" max="28" width="10.33203125" style="0" customWidth="1"/>
    <col min="29" max="29" width="1.83203125" style="0" customWidth="1"/>
  </cols>
  <sheetData>
    <row r="10" ht="12" thickBot="1"/>
    <row r="11" spans="11:29" ht="15.75">
      <c r="K11" s="18" t="s">
        <v>91</v>
      </c>
      <c r="L11" s="7"/>
      <c r="M11" s="7" t="str">
        <f>kOrgName</f>
        <v>WestTec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1:29" ht="15.75">
      <c r="K12" s="19" t="str">
        <f>kPeriod</f>
        <v>2012 Month 9(Mar)</v>
      </c>
      <c r="L12" s="9"/>
      <c r="M12" s="9" t="str">
        <f>kNow</f>
        <v>Thu 18-Oct-2012 8:54 a.m. 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1:29" ht="12.75">
      <c r="K13" s="3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11:29" ht="23.25" thickBot="1">
      <c r="K14" s="33"/>
      <c r="L14" s="32"/>
      <c r="M14" s="32" t="s">
        <v>151</v>
      </c>
      <c r="N14" s="32" t="s">
        <v>152</v>
      </c>
      <c r="O14" s="32" t="s">
        <v>153</v>
      </c>
      <c r="P14" s="32" t="s">
        <v>154</v>
      </c>
      <c r="Q14" s="32" t="s">
        <v>155</v>
      </c>
      <c r="R14" s="32" t="s">
        <v>156</v>
      </c>
      <c r="S14" s="32" t="s">
        <v>157</v>
      </c>
      <c r="T14" s="32" t="s">
        <v>158</v>
      </c>
      <c r="U14" s="32" t="s">
        <v>159</v>
      </c>
      <c r="V14" s="32" t="s">
        <v>160</v>
      </c>
      <c r="W14" s="32" t="s">
        <v>161</v>
      </c>
      <c r="X14" s="32" t="s">
        <v>162</v>
      </c>
      <c r="Y14" s="32" t="s">
        <v>163</v>
      </c>
      <c r="Z14" s="72" t="s">
        <v>168</v>
      </c>
      <c r="AA14" s="32" t="s">
        <v>167</v>
      </c>
      <c r="AB14" s="32" t="s">
        <v>165</v>
      </c>
      <c r="AC14" s="34"/>
    </row>
    <row r="15" spans="11:29" ht="6" customHeight="1">
      <c r="K15" s="64"/>
      <c r="AC15" s="63"/>
    </row>
    <row r="16" spans="11:29" ht="11.25">
      <c r="K16" s="37" t="s">
        <v>77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"/>
    </row>
    <row r="17" spans="11:29" ht="11.25">
      <c r="K17" s="38" t="s">
        <v>64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"/>
    </row>
    <row r="18" spans="11:29" ht="11.25">
      <c r="K18" s="43" t="s">
        <v>60</v>
      </c>
      <c r="L18" s="4"/>
      <c r="M18" s="39">
        <v>1560</v>
      </c>
      <c r="N18" s="39">
        <v>1560</v>
      </c>
      <c r="O18" s="39">
        <v>1560</v>
      </c>
      <c r="P18" s="39">
        <v>1560</v>
      </c>
      <c r="Q18" s="39">
        <v>1560</v>
      </c>
      <c r="R18" s="39">
        <v>1560</v>
      </c>
      <c r="S18" s="39">
        <v>1560</v>
      </c>
      <c r="T18" s="39">
        <v>1560</v>
      </c>
      <c r="U18" s="39">
        <v>1560</v>
      </c>
      <c r="V18" s="39">
        <v>0</v>
      </c>
      <c r="W18" s="39">
        <v>0</v>
      </c>
      <c r="X18" s="39">
        <v>0</v>
      </c>
      <c r="Y18" s="40">
        <f>SUM(M18:X18)</f>
        <v>14040</v>
      </c>
      <c r="Z18" s="50">
        <f>Y18/$Y$37</f>
        <v>0.7743408588896151</v>
      </c>
      <c r="AA18" s="40">
        <f>INDEX(M18:X18,kMonthNo)</f>
        <v>1560</v>
      </c>
      <c r="AB18" s="40">
        <f>INDEX(M18:X18,kMonthNo)</f>
        <v>1560</v>
      </c>
      <c r="AC18" s="1"/>
    </row>
    <row r="19" spans="11:29" ht="11.25">
      <c r="K19" s="43" t="s">
        <v>61</v>
      </c>
      <c r="L19" s="4"/>
      <c r="M19" s="39">
        <v>110</v>
      </c>
      <c r="N19" s="39">
        <v>110</v>
      </c>
      <c r="O19" s="39">
        <v>110</v>
      </c>
      <c r="P19" s="39">
        <v>110</v>
      </c>
      <c r="Q19" s="39">
        <v>110</v>
      </c>
      <c r="R19" s="39">
        <v>110</v>
      </c>
      <c r="S19" s="39">
        <v>110</v>
      </c>
      <c r="T19" s="39">
        <v>110</v>
      </c>
      <c r="U19" s="39">
        <v>110</v>
      </c>
      <c r="V19" s="39">
        <v>0</v>
      </c>
      <c r="W19" s="39">
        <v>0</v>
      </c>
      <c r="X19" s="39">
        <v>0</v>
      </c>
      <c r="Y19" s="40">
        <f>SUM(M19:X19)</f>
        <v>990</v>
      </c>
      <c r="Z19" s="50">
        <f aca="true" t="shared" si="0" ref="Z19:Z37">Y19/$Y$37</f>
        <v>0.05460095799862671</v>
      </c>
      <c r="AA19" s="40">
        <f>INDEX(M19:X19,kMonthNo)</f>
        <v>110</v>
      </c>
      <c r="AB19" s="40">
        <f>INDEX(M19:X19,kMonthNo)</f>
        <v>110</v>
      </c>
      <c r="AC19" s="1"/>
    </row>
    <row r="20" spans="11:29" ht="11.25">
      <c r="K20" s="43" t="s">
        <v>62</v>
      </c>
      <c r="L20" s="4"/>
      <c r="M20" s="39">
        <v>90</v>
      </c>
      <c r="N20" s="39">
        <v>90</v>
      </c>
      <c r="O20" s="39">
        <v>90</v>
      </c>
      <c r="P20" s="39">
        <v>90</v>
      </c>
      <c r="Q20" s="39">
        <v>90</v>
      </c>
      <c r="R20" s="39">
        <v>90</v>
      </c>
      <c r="S20" s="39">
        <v>90</v>
      </c>
      <c r="T20" s="39">
        <v>90</v>
      </c>
      <c r="U20" s="39">
        <v>90</v>
      </c>
      <c r="V20" s="39">
        <v>0</v>
      </c>
      <c r="W20" s="39">
        <v>0</v>
      </c>
      <c r="X20" s="39">
        <v>0</v>
      </c>
      <c r="Y20" s="40">
        <f>SUM(M20:X20)</f>
        <v>810</v>
      </c>
      <c r="Z20" s="50">
        <f t="shared" si="0"/>
        <v>0.044673511089785484</v>
      </c>
      <c r="AA20" s="40">
        <f>INDEX(M20:X20,kMonthNo)</f>
        <v>90</v>
      </c>
      <c r="AB20" s="40">
        <f>INDEX(M20:X20,kMonthNo)</f>
        <v>90</v>
      </c>
      <c r="AC20" s="1"/>
    </row>
    <row r="21" spans="11:29" ht="11.25">
      <c r="K21" s="43" t="s">
        <v>63</v>
      </c>
      <c r="L21" s="4"/>
      <c r="M21" s="39">
        <v>20</v>
      </c>
      <c r="N21" s="39">
        <v>20</v>
      </c>
      <c r="O21" s="39">
        <v>20</v>
      </c>
      <c r="P21" s="39">
        <v>20</v>
      </c>
      <c r="Q21" s="39">
        <v>20</v>
      </c>
      <c r="R21" s="39">
        <v>20</v>
      </c>
      <c r="S21" s="39">
        <v>20</v>
      </c>
      <c r="T21" s="39">
        <v>20</v>
      </c>
      <c r="U21" s="39">
        <v>20</v>
      </c>
      <c r="V21" s="39">
        <v>0</v>
      </c>
      <c r="W21" s="39">
        <v>0</v>
      </c>
      <c r="X21" s="39">
        <v>0</v>
      </c>
      <c r="Y21" s="40">
        <f>SUM(M21:X21)</f>
        <v>180</v>
      </c>
      <c r="Z21" s="50">
        <f t="shared" si="0"/>
        <v>0.009927446908841219</v>
      </c>
      <c r="AA21" s="40">
        <f>INDEX(M21:X21,kMonthNo)</f>
        <v>20</v>
      </c>
      <c r="AB21" s="40">
        <f>INDEX(M21:X21,kMonthNo)</f>
        <v>20</v>
      </c>
      <c r="AC21" s="1"/>
    </row>
    <row r="22" spans="11:29" ht="6.75" customHeight="1">
      <c r="K22" s="4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"/>
    </row>
    <row r="23" spans="11:29" ht="11.25">
      <c r="K23" s="43" t="s">
        <v>45</v>
      </c>
      <c r="L23" s="4"/>
      <c r="M23" s="78">
        <f>SUBTOTAL(9,M17:M22)</f>
        <v>1780</v>
      </c>
      <c r="N23" s="78">
        <f aca="true" t="shared" si="1" ref="N23:Y23">SUBTOTAL(9,N16:N22)</f>
        <v>1780</v>
      </c>
      <c r="O23" s="78">
        <f t="shared" si="1"/>
        <v>1780</v>
      </c>
      <c r="P23" s="78">
        <f t="shared" si="1"/>
        <v>1780</v>
      </c>
      <c r="Q23" s="78">
        <f t="shared" si="1"/>
        <v>1780</v>
      </c>
      <c r="R23" s="78">
        <f t="shared" si="1"/>
        <v>1780</v>
      </c>
      <c r="S23" s="78">
        <f t="shared" si="1"/>
        <v>1780</v>
      </c>
      <c r="T23" s="78">
        <f t="shared" si="1"/>
        <v>1780</v>
      </c>
      <c r="U23" s="78">
        <f t="shared" si="1"/>
        <v>1780</v>
      </c>
      <c r="V23" s="78">
        <f t="shared" si="1"/>
        <v>0</v>
      </c>
      <c r="W23" s="78">
        <f t="shared" si="1"/>
        <v>0</v>
      </c>
      <c r="X23" s="78">
        <f t="shared" si="1"/>
        <v>0</v>
      </c>
      <c r="Y23" s="78">
        <f t="shared" si="1"/>
        <v>16020</v>
      </c>
      <c r="Z23" s="74">
        <f>Y23/$Y$37</f>
        <v>0.8835427748868685</v>
      </c>
      <c r="AA23" s="78">
        <f>INDEX(M23:X23,kMonthNo)</f>
        <v>1780</v>
      </c>
      <c r="AB23" s="78">
        <f>INDEX(M23:X23,kMonthNo)</f>
        <v>1780</v>
      </c>
      <c r="AC23" s="1"/>
    </row>
    <row r="24" spans="11:29" ht="11.25">
      <c r="K24" s="38" t="s">
        <v>68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"/>
    </row>
    <row r="25" spans="11:29" ht="11.25">
      <c r="K25" s="43" t="s">
        <v>65</v>
      </c>
      <c r="L25" s="4"/>
      <c r="M25" s="39">
        <v>59.4</v>
      </c>
      <c r="N25" s="39">
        <v>63</v>
      </c>
      <c r="O25" s="39">
        <v>69</v>
      </c>
      <c r="P25" s="39">
        <v>75</v>
      </c>
      <c r="Q25" s="39">
        <v>70.5</v>
      </c>
      <c r="R25" s="39">
        <v>62.7</v>
      </c>
      <c r="S25" s="39">
        <v>60.3</v>
      </c>
      <c r="T25" s="39">
        <v>59.4</v>
      </c>
      <c r="U25" s="39">
        <v>56.7</v>
      </c>
      <c r="V25" s="39">
        <v>0</v>
      </c>
      <c r="W25" s="39">
        <v>0</v>
      </c>
      <c r="X25" s="39">
        <v>0</v>
      </c>
      <c r="Y25" s="40">
        <f>SUM(M25:X25)</f>
        <v>576</v>
      </c>
      <c r="Z25" s="50">
        <f t="shared" si="0"/>
        <v>0.0317678301082919</v>
      </c>
      <c r="AA25" s="40">
        <f>INDEX(M25:X25,kMonthNo)</f>
        <v>56.7</v>
      </c>
      <c r="AB25" s="40">
        <f>INDEX(M25:X25,kMonthNo)</f>
        <v>56.7</v>
      </c>
      <c r="AC25" s="1"/>
    </row>
    <row r="26" spans="11:29" ht="11.25">
      <c r="K26" s="43" t="s">
        <v>66</v>
      </c>
      <c r="L26" s="4"/>
      <c r="M26" s="39">
        <v>49.95</v>
      </c>
      <c r="N26" s="39">
        <v>49.95</v>
      </c>
      <c r="O26" s="39">
        <v>49.95</v>
      </c>
      <c r="P26" s="39">
        <v>49.95</v>
      </c>
      <c r="Q26" s="39">
        <v>49.95</v>
      </c>
      <c r="R26" s="39">
        <v>49.95</v>
      </c>
      <c r="S26" s="39">
        <v>49.95</v>
      </c>
      <c r="T26" s="39">
        <v>49.95</v>
      </c>
      <c r="U26" s="39">
        <v>49.95</v>
      </c>
      <c r="V26" s="39">
        <v>0</v>
      </c>
      <c r="W26" s="39">
        <v>0</v>
      </c>
      <c r="X26" s="39">
        <v>0</v>
      </c>
      <c r="Y26" s="40">
        <f>SUM(M26:X26)</f>
        <v>449.54999999999995</v>
      </c>
      <c r="Z26" s="50">
        <f t="shared" si="0"/>
        <v>0.024793798654830942</v>
      </c>
      <c r="AA26" s="40">
        <f>INDEX(M26:X26,kMonthNo)</f>
        <v>49.95</v>
      </c>
      <c r="AB26" s="40">
        <f>INDEX(M26:X26,kMonthNo)</f>
        <v>49.95</v>
      </c>
      <c r="AC26" s="1"/>
    </row>
    <row r="27" spans="11:29" ht="11.25">
      <c r="K27" s="43" t="s">
        <v>67</v>
      </c>
      <c r="L27" s="4"/>
      <c r="M27" s="39">
        <v>30.3</v>
      </c>
      <c r="N27" s="39">
        <v>32.7</v>
      </c>
      <c r="O27" s="39">
        <v>30.6</v>
      </c>
      <c r="P27" s="39">
        <v>29.4</v>
      </c>
      <c r="Q27" s="39">
        <v>27</v>
      </c>
      <c r="R27" s="39">
        <v>15</v>
      </c>
      <c r="S27" s="39">
        <v>7.5</v>
      </c>
      <c r="T27" s="39">
        <v>7.8</v>
      </c>
      <c r="U27" s="39">
        <v>10.2</v>
      </c>
      <c r="V27" s="39">
        <v>0</v>
      </c>
      <c r="W27" s="39">
        <v>0</v>
      </c>
      <c r="X27" s="39">
        <v>0</v>
      </c>
      <c r="Y27" s="40">
        <f>SUM(M27:X27)</f>
        <v>190.5</v>
      </c>
      <c r="Z27" s="50">
        <f t="shared" si="0"/>
        <v>0.010506547978523623</v>
      </c>
      <c r="AA27" s="40">
        <f>INDEX(M27:X27,kMonthNo)</f>
        <v>10.2</v>
      </c>
      <c r="AB27" s="40">
        <f>INDEX(M27:X27,kMonthNo)</f>
        <v>10.2</v>
      </c>
      <c r="AC27" s="1"/>
    </row>
    <row r="28" spans="11:29" ht="6.75" customHeight="1">
      <c r="K28" s="4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"/>
    </row>
    <row r="29" spans="11:29" ht="11.25">
      <c r="K29" s="43" t="s">
        <v>45</v>
      </c>
      <c r="L29" s="4"/>
      <c r="M29" s="70">
        <f aca="true" t="shared" si="2" ref="M29:Y29">SUBTOTAL(9,M24:M28)</f>
        <v>139.65</v>
      </c>
      <c r="N29" s="70">
        <f t="shared" si="2"/>
        <v>145.65</v>
      </c>
      <c r="O29" s="70">
        <f t="shared" si="2"/>
        <v>149.55</v>
      </c>
      <c r="P29" s="70">
        <f t="shared" si="2"/>
        <v>154.35</v>
      </c>
      <c r="Q29" s="70">
        <f t="shared" si="2"/>
        <v>147.45</v>
      </c>
      <c r="R29" s="70">
        <f t="shared" si="2"/>
        <v>127.65</v>
      </c>
      <c r="S29" s="70">
        <f t="shared" si="2"/>
        <v>117.75</v>
      </c>
      <c r="T29" s="70">
        <f t="shared" si="2"/>
        <v>117.14999999999999</v>
      </c>
      <c r="U29" s="70">
        <f t="shared" si="2"/>
        <v>116.85000000000001</v>
      </c>
      <c r="V29" s="70">
        <f t="shared" si="2"/>
        <v>0</v>
      </c>
      <c r="W29" s="70">
        <f t="shared" si="2"/>
        <v>0</v>
      </c>
      <c r="X29" s="70">
        <f t="shared" si="2"/>
        <v>0</v>
      </c>
      <c r="Y29" s="70">
        <f t="shared" si="2"/>
        <v>1216.05</v>
      </c>
      <c r="Z29" s="73">
        <f t="shared" si="0"/>
        <v>0.06706817674164647</v>
      </c>
      <c r="AA29" s="70">
        <f>INDEX(M29:X29,kMonthNo)</f>
        <v>116.85000000000001</v>
      </c>
      <c r="AB29" s="70">
        <f>INDEX(M29:X29,kMonthNo)</f>
        <v>116.85000000000001</v>
      </c>
      <c r="AC29" s="1"/>
    </row>
    <row r="30" spans="11:29" ht="11.25">
      <c r="K30" s="38" t="s">
        <v>78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75"/>
      <c r="AA30" s="4"/>
      <c r="AB30" s="4"/>
      <c r="AC30" s="1"/>
    </row>
    <row r="31" spans="11:29" ht="11.25">
      <c r="K31" s="43" t="s">
        <v>73</v>
      </c>
      <c r="L31" s="4"/>
      <c r="M31" s="39">
        <v>30</v>
      </c>
      <c r="N31" s="39">
        <v>30</v>
      </c>
      <c r="O31" s="39">
        <v>30</v>
      </c>
      <c r="P31" s="39">
        <v>30</v>
      </c>
      <c r="Q31" s="39">
        <v>30</v>
      </c>
      <c r="R31" s="39">
        <v>30</v>
      </c>
      <c r="S31" s="39">
        <v>30</v>
      </c>
      <c r="T31" s="39">
        <v>30</v>
      </c>
      <c r="U31" s="39">
        <v>30</v>
      </c>
      <c r="V31" s="39">
        <v>0</v>
      </c>
      <c r="W31" s="39">
        <v>0</v>
      </c>
      <c r="X31" s="39">
        <v>0</v>
      </c>
      <c r="Y31" s="40">
        <f>SUM(M31:X31)</f>
        <v>270</v>
      </c>
      <c r="Z31" s="50">
        <f t="shared" si="0"/>
        <v>0.014891170363261829</v>
      </c>
      <c r="AA31" s="40">
        <f>INDEX(M31:X31,kMonthNo)</f>
        <v>30</v>
      </c>
      <c r="AB31" s="40">
        <f>INDEX(M31:X31,kMonthNo)</f>
        <v>30</v>
      </c>
      <c r="AC31" s="1"/>
    </row>
    <row r="32" spans="11:29" ht="11.25">
      <c r="K32" s="43" t="s">
        <v>96</v>
      </c>
      <c r="L32" s="4"/>
      <c r="M32" s="39">
        <v>19.5</v>
      </c>
      <c r="N32" s="39">
        <v>19.5</v>
      </c>
      <c r="O32" s="39">
        <v>19.5</v>
      </c>
      <c r="P32" s="39">
        <v>19.5</v>
      </c>
      <c r="Q32" s="39">
        <v>19.5</v>
      </c>
      <c r="R32" s="39">
        <v>19.5</v>
      </c>
      <c r="S32" s="39">
        <v>19.5</v>
      </c>
      <c r="T32" s="39">
        <v>19.5</v>
      </c>
      <c r="U32" s="39">
        <v>19.5</v>
      </c>
      <c r="V32" s="39">
        <v>0</v>
      </c>
      <c r="W32" s="39">
        <v>0</v>
      </c>
      <c r="X32" s="39">
        <v>0</v>
      </c>
      <c r="Y32" s="40">
        <f>SUM(M32:X32)</f>
        <v>175.5</v>
      </c>
      <c r="Z32" s="50">
        <f t="shared" si="0"/>
        <v>0.00967926073612019</v>
      </c>
      <c r="AA32" s="40">
        <f>INDEX(M32:X32,kMonthNo)</f>
        <v>19.5</v>
      </c>
      <c r="AB32" s="40">
        <f>INDEX(M32:X32,kMonthNo)</f>
        <v>19.5</v>
      </c>
      <c r="AC32" s="1"/>
    </row>
    <row r="33" spans="11:29" ht="11.25">
      <c r="K33" s="43" t="s">
        <v>76</v>
      </c>
      <c r="L33" s="4"/>
      <c r="M33" s="39">
        <v>50</v>
      </c>
      <c r="N33" s="39">
        <v>50</v>
      </c>
      <c r="O33" s="39">
        <v>50</v>
      </c>
      <c r="P33" s="39">
        <v>50</v>
      </c>
      <c r="Q33" s="39">
        <v>50</v>
      </c>
      <c r="R33" s="39">
        <v>50</v>
      </c>
      <c r="S33" s="39">
        <v>50</v>
      </c>
      <c r="T33" s="39">
        <v>50</v>
      </c>
      <c r="U33" s="39">
        <v>50</v>
      </c>
      <c r="V33" s="39">
        <v>0</v>
      </c>
      <c r="W33" s="39">
        <v>0</v>
      </c>
      <c r="X33" s="39">
        <v>0</v>
      </c>
      <c r="Y33" s="40">
        <f>SUM(M33:X33)</f>
        <v>450</v>
      </c>
      <c r="Z33" s="50">
        <f t="shared" si="0"/>
        <v>0.02481861727210305</v>
      </c>
      <c r="AA33" s="40">
        <f>INDEX(M33:X33,kMonthNo)</f>
        <v>50</v>
      </c>
      <c r="AB33" s="40">
        <f>INDEX(M33:X33,kMonthNo)</f>
        <v>50</v>
      </c>
      <c r="AC33" s="1"/>
    </row>
    <row r="34" spans="11:29" ht="6.75" customHeight="1">
      <c r="K34" s="4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"/>
    </row>
    <row r="35" spans="11:29" ht="11.25">
      <c r="K35" s="43" t="s">
        <v>45</v>
      </c>
      <c r="L35" s="4"/>
      <c r="M35" s="69">
        <f aca="true" t="shared" si="3" ref="M35:Y35">SUBTOTAL(9,M30:M34)</f>
        <v>99.5</v>
      </c>
      <c r="N35" s="69">
        <f t="shared" si="3"/>
        <v>99.5</v>
      </c>
      <c r="O35" s="69">
        <f t="shared" si="3"/>
        <v>99.5</v>
      </c>
      <c r="P35" s="69">
        <f t="shared" si="3"/>
        <v>99.5</v>
      </c>
      <c r="Q35" s="69">
        <f t="shared" si="3"/>
        <v>99.5</v>
      </c>
      <c r="R35" s="69">
        <f t="shared" si="3"/>
        <v>99.5</v>
      </c>
      <c r="S35" s="69">
        <f t="shared" si="3"/>
        <v>99.5</v>
      </c>
      <c r="T35" s="69">
        <f t="shared" si="3"/>
        <v>99.5</v>
      </c>
      <c r="U35" s="69">
        <f t="shared" si="3"/>
        <v>99.5</v>
      </c>
      <c r="V35" s="69">
        <f t="shared" si="3"/>
        <v>0</v>
      </c>
      <c r="W35" s="69">
        <f t="shared" si="3"/>
        <v>0</v>
      </c>
      <c r="X35" s="69">
        <f t="shared" si="3"/>
        <v>0</v>
      </c>
      <c r="Y35" s="69">
        <f t="shared" si="3"/>
        <v>895.5</v>
      </c>
      <c r="Z35" s="74">
        <f t="shared" si="0"/>
        <v>0.04938904837148506</v>
      </c>
      <c r="AA35" s="69">
        <f>INDEX(M35:X35,kMonthNo)</f>
        <v>99.5</v>
      </c>
      <c r="AB35" s="69">
        <f>INDEX(M35:X35,kMonthNo)</f>
        <v>99.5</v>
      </c>
      <c r="AC35" s="1"/>
    </row>
    <row r="36" spans="11:29" ht="6.75" customHeight="1">
      <c r="K36" s="36"/>
      <c r="L36" s="4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6"/>
      <c r="AA36" s="71"/>
      <c r="AB36" s="71"/>
      <c r="AC36" s="1"/>
    </row>
    <row r="37" spans="11:29" ht="11.25">
      <c r="K37" s="54" t="s">
        <v>45</v>
      </c>
      <c r="L37" s="4"/>
      <c r="M37" s="70">
        <f aca="true" t="shared" si="4" ref="M37:Y37">SUBTOTAL(9,M16:M36)</f>
        <v>2019.15</v>
      </c>
      <c r="N37" s="70">
        <f t="shared" si="4"/>
        <v>2025.15</v>
      </c>
      <c r="O37" s="70">
        <f t="shared" si="4"/>
        <v>2029.05</v>
      </c>
      <c r="P37" s="70">
        <f t="shared" si="4"/>
        <v>2033.8500000000001</v>
      </c>
      <c r="Q37" s="70">
        <f t="shared" si="4"/>
        <v>2026.95</v>
      </c>
      <c r="R37" s="70">
        <f t="shared" si="4"/>
        <v>2007.15</v>
      </c>
      <c r="S37" s="70">
        <f t="shared" si="4"/>
        <v>1997.25</v>
      </c>
      <c r="T37" s="70">
        <f t="shared" si="4"/>
        <v>1996.65</v>
      </c>
      <c r="U37" s="70">
        <f t="shared" si="4"/>
        <v>1996.3500000000001</v>
      </c>
      <c r="V37" s="70">
        <f t="shared" si="4"/>
        <v>0</v>
      </c>
      <c r="W37" s="70">
        <f t="shared" si="4"/>
        <v>0</v>
      </c>
      <c r="X37" s="70">
        <f t="shared" si="4"/>
        <v>0</v>
      </c>
      <c r="Y37" s="70">
        <f t="shared" si="4"/>
        <v>18131.55</v>
      </c>
      <c r="Z37" s="74">
        <f t="shared" si="0"/>
        <v>1</v>
      </c>
      <c r="AA37" s="70">
        <f>INDEX(M37:X37,kMonthNo)</f>
        <v>1996.3500000000001</v>
      </c>
      <c r="AB37" s="70">
        <f>INDEX(M37:X37,kMonthNo)</f>
        <v>1996.3500000000001</v>
      </c>
      <c r="AC37" s="1"/>
    </row>
    <row r="38" spans="11:29" ht="11.25">
      <c r="K38" s="37" t="s">
        <v>79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"/>
    </row>
    <row r="39" spans="11:29" ht="11.25">
      <c r="K39" s="38" t="s">
        <v>72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"/>
    </row>
    <row r="40" spans="11:29" ht="11.25">
      <c r="K40" s="43" t="s">
        <v>69</v>
      </c>
      <c r="L40" s="4"/>
      <c r="M40" s="39">
        <v>36</v>
      </c>
      <c r="N40" s="39">
        <v>36</v>
      </c>
      <c r="O40" s="39">
        <v>36</v>
      </c>
      <c r="P40" s="39">
        <v>36</v>
      </c>
      <c r="Q40" s="39">
        <v>36</v>
      </c>
      <c r="R40" s="39">
        <v>36</v>
      </c>
      <c r="S40" s="39">
        <v>36</v>
      </c>
      <c r="T40" s="39">
        <v>36</v>
      </c>
      <c r="U40" s="39">
        <v>36</v>
      </c>
      <c r="V40" s="39">
        <v>0</v>
      </c>
      <c r="W40" s="39">
        <v>0</v>
      </c>
      <c r="X40" s="39">
        <v>0</v>
      </c>
      <c r="Y40" s="40">
        <f>SUM(M40:X40)</f>
        <v>324</v>
      </c>
      <c r="Z40" s="50">
        <f>Y40/$Y$51</f>
        <v>0.07993684002763249</v>
      </c>
      <c r="AA40" s="40">
        <f>INDEX(M40:X40,kMonthNo)</f>
        <v>36</v>
      </c>
      <c r="AB40" s="40">
        <f>INDEX(M40:X40,kMonthNo)</f>
        <v>36</v>
      </c>
      <c r="AC40" s="1"/>
    </row>
    <row r="41" spans="11:29" ht="11.25">
      <c r="K41" s="43" t="s">
        <v>70</v>
      </c>
      <c r="L41" s="4"/>
      <c r="M41" s="39">
        <v>27.6</v>
      </c>
      <c r="N41" s="39">
        <v>27.6</v>
      </c>
      <c r="O41" s="39">
        <v>27.6</v>
      </c>
      <c r="P41" s="39">
        <v>27.6</v>
      </c>
      <c r="Q41" s="39">
        <v>27.6</v>
      </c>
      <c r="R41" s="39">
        <v>27.6</v>
      </c>
      <c r="S41" s="39">
        <v>27.6</v>
      </c>
      <c r="T41" s="39">
        <v>27.6</v>
      </c>
      <c r="U41" s="39">
        <v>27.6</v>
      </c>
      <c r="V41" s="39">
        <v>0</v>
      </c>
      <c r="W41" s="39">
        <v>0</v>
      </c>
      <c r="X41" s="39">
        <v>0</v>
      </c>
      <c r="Y41" s="40">
        <f>SUM(M41:X41)</f>
        <v>248.39999999999998</v>
      </c>
      <c r="Z41" s="50">
        <f>Y41/$Y$51</f>
        <v>0.06128491068785157</v>
      </c>
      <c r="AA41" s="40">
        <f>INDEX(M41:X41,kMonthNo)</f>
        <v>27.6</v>
      </c>
      <c r="AB41" s="40">
        <f>INDEX(M41:X41,kMonthNo)</f>
        <v>27.6</v>
      </c>
      <c r="AC41" s="1"/>
    </row>
    <row r="42" spans="11:29" ht="11.25">
      <c r="K42" s="43" t="s">
        <v>71</v>
      </c>
      <c r="L42" s="4"/>
      <c r="M42" s="39">
        <v>31.2</v>
      </c>
      <c r="N42" s="39">
        <v>31.2</v>
      </c>
      <c r="O42" s="39">
        <v>31.2</v>
      </c>
      <c r="P42" s="39">
        <v>31.2</v>
      </c>
      <c r="Q42" s="39">
        <v>31.2</v>
      </c>
      <c r="R42" s="39">
        <v>31.2</v>
      </c>
      <c r="S42" s="39">
        <v>31.2</v>
      </c>
      <c r="T42" s="39">
        <v>31.2</v>
      </c>
      <c r="U42" s="39">
        <v>31.2</v>
      </c>
      <c r="V42" s="39">
        <v>0</v>
      </c>
      <c r="W42" s="39">
        <v>0</v>
      </c>
      <c r="X42" s="39">
        <v>0</v>
      </c>
      <c r="Y42" s="40">
        <f>SUM(M42:X42)</f>
        <v>280.79999999999995</v>
      </c>
      <c r="Z42" s="50">
        <f>Y42/$Y$51</f>
        <v>0.06927859469061481</v>
      </c>
      <c r="AA42" s="40">
        <f>INDEX(M42:X42,kMonthNo)</f>
        <v>31.2</v>
      </c>
      <c r="AB42" s="40">
        <f>INDEX(M42:X42,kMonthNo)</f>
        <v>31.2</v>
      </c>
      <c r="AC42" s="1"/>
    </row>
    <row r="43" spans="11:29" ht="6.75" customHeight="1">
      <c r="K43" s="4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"/>
    </row>
    <row r="44" spans="11:29" ht="11.25">
      <c r="K44" s="43" t="s">
        <v>45</v>
      </c>
      <c r="L44" s="4"/>
      <c r="M44" s="70">
        <f aca="true" t="shared" si="5" ref="M44:Y44">SUBTOTAL(9,M39:M43)</f>
        <v>94.8</v>
      </c>
      <c r="N44" s="70">
        <f t="shared" si="5"/>
        <v>94.8</v>
      </c>
      <c r="O44" s="70">
        <f t="shared" si="5"/>
        <v>94.8</v>
      </c>
      <c r="P44" s="70">
        <f t="shared" si="5"/>
        <v>94.8</v>
      </c>
      <c r="Q44" s="70">
        <f t="shared" si="5"/>
        <v>94.8</v>
      </c>
      <c r="R44" s="70">
        <f t="shared" si="5"/>
        <v>94.8</v>
      </c>
      <c r="S44" s="70">
        <f t="shared" si="5"/>
        <v>94.8</v>
      </c>
      <c r="T44" s="70">
        <f t="shared" si="5"/>
        <v>94.8</v>
      </c>
      <c r="U44" s="70">
        <f t="shared" si="5"/>
        <v>94.8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853.1999999999999</v>
      </c>
      <c r="Z44" s="73">
        <f>Y44/$Y$51</f>
        <v>0.21050034540609888</v>
      </c>
      <c r="AA44" s="70">
        <f>INDEX(M44:X44,kMonthNo)</f>
        <v>94.8</v>
      </c>
      <c r="AB44" s="70">
        <f>INDEX(M44:X44,kMonthNo)</f>
        <v>94.8</v>
      </c>
      <c r="AC44" s="1"/>
    </row>
    <row r="45" spans="11:29" ht="11.25">
      <c r="K45" s="38" t="s">
        <v>80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75"/>
      <c r="AA45" s="4"/>
      <c r="AB45" s="4"/>
      <c r="AC45" s="1"/>
    </row>
    <row r="46" spans="11:29" ht="11.25">
      <c r="K46" s="43" t="s">
        <v>74</v>
      </c>
      <c r="L46" s="4"/>
      <c r="M46" s="39">
        <v>0</v>
      </c>
      <c r="N46" s="39">
        <v>0</v>
      </c>
      <c r="O46" s="39">
        <v>0</v>
      </c>
      <c r="P46" s="39">
        <v>2300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40">
        <f>SUM(M46:X46)</f>
        <v>2300</v>
      </c>
      <c r="Z46" s="50">
        <f>Y46/$Y$51</f>
        <v>0.5674528767393665</v>
      </c>
      <c r="AA46" s="40">
        <f>INDEX(M46:X46,kMonthNo)</f>
        <v>0</v>
      </c>
      <c r="AB46" s="40">
        <f>INDEX(M46:X46,kMonthNo)</f>
        <v>0</v>
      </c>
      <c r="AC46" s="1"/>
    </row>
    <row r="47" spans="11:29" ht="11.25">
      <c r="K47" s="43" t="s">
        <v>75</v>
      </c>
      <c r="L47" s="4"/>
      <c r="M47" s="39">
        <v>100</v>
      </c>
      <c r="N47" s="39">
        <v>100</v>
      </c>
      <c r="O47" s="39">
        <v>100</v>
      </c>
      <c r="P47" s="39">
        <v>100</v>
      </c>
      <c r="Q47" s="39">
        <v>100</v>
      </c>
      <c r="R47" s="39">
        <v>100</v>
      </c>
      <c r="S47" s="39">
        <v>100</v>
      </c>
      <c r="T47" s="39">
        <v>100</v>
      </c>
      <c r="U47" s="39">
        <v>100</v>
      </c>
      <c r="V47" s="39">
        <v>0</v>
      </c>
      <c r="W47" s="39">
        <v>0</v>
      </c>
      <c r="X47" s="39">
        <v>0</v>
      </c>
      <c r="Y47" s="40">
        <f>SUM(M47:X47)</f>
        <v>900</v>
      </c>
      <c r="Z47" s="50">
        <f>Y47/$Y$51</f>
        <v>0.2220467778545347</v>
      </c>
      <c r="AA47" s="40">
        <f>INDEX(M47:X47,kMonthNo)</f>
        <v>100</v>
      </c>
      <c r="AB47" s="40">
        <f>INDEX(M47:X47,kMonthNo)</f>
        <v>100</v>
      </c>
      <c r="AC47" s="1"/>
    </row>
    <row r="48" spans="11:29" ht="6.75" customHeight="1">
      <c r="K48" s="4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"/>
    </row>
    <row r="49" spans="11:29" ht="11.25">
      <c r="K49" s="43" t="s">
        <v>45</v>
      </c>
      <c r="L49" s="4"/>
      <c r="M49" s="69">
        <f aca="true" t="shared" si="6" ref="M49:Y49">SUBTOTAL(9,M45:M48)</f>
        <v>100</v>
      </c>
      <c r="N49" s="69">
        <f t="shared" si="6"/>
        <v>100</v>
      </c>
      <c r="O49" s="69">
        <f t="shared" si="6"/>
        <v>100</v>
      </c>
      <c r="P49" s="69">
        <f t="shared" si="6"/>
        <v>2400</v>
      </c>
      <c r="Q49" s="69">
        <f t="shared" si="6"/>
        <v>100</v>
      </c>
      <c r="R49" s="69">
        <f t="shared" si="6"/>
        <v>100</v>
      </c>
      <c r="S49" s="69">
        <f t="shared" si="6"/>
        <v>100</v>
      </c>
      <c r="T49" s="69">
        <f t="shared" si="6"/>
        <v>100</v>
      </c>
      <c r="U49" s="69">
        <f t="shared" si="6"/>
        <v>100</v>
      </c>
      <c r="V49" s="69">
        <f t="shared" si="6"/>
        <v>0</v>
      </c>
      <c r="W49" s="69">
        <f t="shared" si="6"/>
        <v>0</v>
      </c>
      <c r="X49" s="69">
        <f t="shared" si="6"/>
        <v>0</v>
      </c>
      <c r="Y49" s="69">
        <f t="shared" si="6"/>
        <v>3200</v>
      </c>
      <c r="Z49" s="74">
        <f>Y49/$Y$51</f>
        <v>0.7894996545939011</v>
      </c>
      <c r="AA49" s="69">
        <f>INDEX(M49:X49,kMonthNo)</f>
        <v>100</v>
      </c>
      <c r="AB49" s="69">
        <f>INDEX(M49:X49,kMonthNo)</f>
        <v>100</v>
      </c>
      <c r="AC49" s="1"/>
    </row>
    <row r="50" spans="11:29" ht="6.75" customHeight="1">
      <c r="K50" s="36"/>
      <c r="L50" s="4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6"/>
      <c r="AA50" s="71"/>
      <c r="AB50" s="71"/>
      <c r="AC50" s="1"/>
    </row>
    <row r="51" spans="11:29" ht="11.25">
      <c r="K51" s="45" t="s">
        <v>45</v>
      </c>
      <c r="L51" s="4"/>
      <c r="M51" s="70">
        <f aca="true" t="shared" si="7" ref="M51:Y51">SUBTOTAL(9,M38:M50)</f>
        <v>194.8</v>
      </c>
      <c r="N51" s="70">
        <f t="shared" si="7"/>
        <v>194.8</v>
      </c>
      <c r="O51" s="70">
        <f t="shared" si="7"/>
        <v>194.8</v>
      </c>
      <c r="P51" s="70">
        <f t="shared" si="7"/>
        <v>2494.8</v>
      </c>
      <c r="Q51" s="70">
        <f t="shared" si="7"/>
        <v>194.8</v>
      </c>
      <c r="R51" s="70">
        <f t="shared" si="7"/>
        <v>194.8</v>
      </c>
      <c r="S51" s="70">
        <f t="shared" si="7"/>
        <v>194.8</v>
      </c>
      <c r="T51" s="70">
        <f t="shared" si="7"/>
        <v>194.8</v>
      </c>
      <c r="U51" s="70">
        <f t="shared" si="7"/>
        <v>194.8</v>
      </c>
      <c r="V51" s="70">
        <f t="shared" si="7"/>
        <v>0</v>
      </c>
      <c r="W51" s="70">
        <f t="shared" si="7"/>
        <v>0</v>
      </c>
      <c r="X51" s="70">
        <f t="shared" si="7"/>
        <v>0</v>
      </c>
      <c r="Y51" s="70">
        <f t="shared" si="7"/>
        <v>4053.2</v>
      </c>
      <c r="Z51" s="74">
        <f>Y51/$Y$51</f>
        <v>1</v>
      </c>
      <c r="AA51" s="70">
        <f>INDEX(M51:X51,kMonthNo)</f>
        <v>194.8</v>
      </c>
      <c r="AB51" s="70">
        <f>INDEX(M51:X51,kMonthNo)</f>
        <v>194.8</v>
      </c>
      <c r="AC51" s="1"/>
    </row>
    <row r="52" spans="11:29" ht="6.75" customHeight="1">
      <c r="K52" s="3"/>
      <c r="L52" s="4"/>
      <c r="M52" s="4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5"/>
      <c r="AA52" s="4"/>
      <c r="AB52" s="4"/>
      <c r="AC52" s="1"/>
    </row>
    <row r="53" spans="11:29" ht="12" thickBot="1">
      <c r="K53" s="46" t="s">
        <v>46</v>
      </c>
      <c r="L53" s="4"/>
      <c r="M53" s="55">
        <f aca="true" t="shared" si="8" ref="M53:Y53">SUBTOTAL(9,M15:M52)</f>
        <v>2213.95</v>
      </c>
      <c r="N53" s="55">
        <f t="shared" si="8"/>
        <v>2219.95</v>
      </c>
      <c r="O53" s="55">
        <f t="shared" si="8"/>
        <v>2223.85</v>
      </c>
      <c r="P53" s="55">
        <f t="shared" si="8"/>
        <v>4528.65</v>
      </c>
      <c r="Q53" s="55">
        <f t="shared" si="8"/>
        <v>2221.7499999999995</v>
      </c>
      <c r="R53" s="55">
        <f t="shared" si="8"/>
        <v>2201.95</v>
      </c>
      <c r="S53" s="55">
        <f t="shared" si="8"/>
        <v>2192.0499999999997</v>
      </c>
      <c r="T53" s="55">
        <f t="shared" si="8"/>
        <v>2191.45</v>
      </c>
      <c r="U53" s="55">
        <f t="shared" si="8"/>
        <v>2191.15</v>
      </c>
      <c r="V53" s="55">
        <f t="shared" si="8"/>
        <v>0</v>
      </c>
      <c r="W53" s="55">
        <f t="shared" si="8"/>
        <v>0</v>
      </c>
      <c r="X53" s="55">
        <f t="shared" si="8"/>
        <v>0</v>
      </c>
      <c r="Y53" s="55">
        <f t="shared" si="8"/>
        <v>22184.75</v>
      </c>
      <c r="Z53" s="77"/>
      <c r="AA53" s="55">
        <f>INDEX(M53:X53,kMonthNo)</f>
        <v>2191.15</v>
      </c>
      <c r="AB53" s="55">
        <f>INDEX(M53:X53,kMonthNo)</f>
        <v>2191.15</v>
      </c>
      <c r="AC53" s="1"/>
    </row>
    <row r="54" spans="11:29" ht="6" customHeight="1" thickBot="1" thickTop="1">
      <c r="K54" s="5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2"/>
    </row>
  </sheetData>
  <sheetProtection autoFilter="0"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Oulton</dc:creator>
  <cp:keywords/>
  <dc:description/>
  <cp:lastModifiedBy>Paul Oulton</cp:lastModifiedBy>
  <cp:lastPrinted>2008-08-09T22:29:04Z</cp:lastPrinted>
  <dcterms:created xsi:type="dcterms:W3CDTF">1997-09-04T02:48:07Z</dcterms:created>
  <dcterms:modified xsi:type="dcterms:W3CDTF">2012-10-17T20:17:34Z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  <property fmtid="{D5CDD505-2E9C-101B-9397-08002B2CF9AE}" pid="3" name="ESPRNparTotalOverheads">
    <vt:lpwstr>Total of all overheads departments</vt:lpwstr>
  </property>
  <property fmtid="{D5CDD505-2E9C-101B-9397-08002B2CF9AE}" pid="4" name="ESPPM0001Name">
    <vt:lpwstr>rSummary!parSheet</vt:lpwstr>
  </property>
  <property fmtid="{D5CDD505-2E9C-101B-9397-08002B2CF9AE}" pid="5" name="ESPPM0001Desc">
    <vt:lpwstr>Summary profit</vt:lpwstr>
  </property>
  <property fmtid="{D5CDD505-2E9C-101B-9397-08002B2CF9AE}" pid="6" name="ESPPM0002Name">
    <vt:lpwstr>rProdProfit!parSheet</vt:lpwstr>
  </property>
  <property fmtid="{D5CDD505-2E9C-101B-9397-08002B2CF9AE}" pid="7" name="ESPPM0002Desc">
    <vt:lpwstr>Product profitability</vt:lpwstr>
  </property>
  <property fmtid="{D5CDD505-2E9C-101B-9397-08002B2CF9AE}" pid="8" name="ESPPM0003Name">
    <vt:lpwstr>parTotalOverheads</vt:lpwstr>
  </property>
  <property fmtid="{D5CDD505-2E9C-101B-9397-08002B2CF9AE}" pid="9" name="ESPPM0003Desc">
    <vt:lpwstr>Total of all overheads departments</vt:lpwstr>
  </property>
</Properties>
</file>